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podonnell\NYCEEC Dropbox\- NYCEEC RESTRICTED PACE\Engineering\Tech Cert\"/>
    </mc:Choice>
  </mc:AlternateContent>
  <xr:revisionPtr revIDLastSave="0" documentId="8_{C83FA686-E141-4D09-81B8-0978FADDBFD1}" xr6:coauthVersionLast="47" xr6:coauthVersionMax="47" xr10:uidLastSave="{00000000-0000-0000-0000-000000000000}"/>
  <workbookProtection workbookAlgorithmName="SHA-512" workbookHashValue="FZICEJ/5l8qcj7QVnNp9ybdpQ6ReQUyynwEzIg1UYLrb0DVE1xGa6pimDgOGVi2wV+qo9NdJtpUfTPD45uIsJA==" workbookSaltValue="l/IB08MFaREcpt6WRNZYRA==" workbookSpinCount="100000" lockStructure="1"/>
  <bookViews>
    <workbookView xWindow="-28920" yWindow="-120" windowWidth="29040" windowHeight="15840" tabRatio="838" xr2:uid="{174EA283-4C00-4816-B945-AF7BF10E8EDB}"/>
  </bookViews>
  <sheets>
    <sheet name="1 Summary" sheetId="8" r:id="rId1"/>
    <sheet name="2 TIPLA Summary" sheetId="9" r:id="rId2"/>
    <sheet name="3 Construction Scope" sheetId="5" r:id="rId3"/>
    <sheet name="4 Savings Analysis" sheetId="6" r:id="rId4"/>
    <sheet name="5 Local Law 97 Analysis" sheetId="7" r:id="rId5"/>
    <sheet name="Backup" sheetId="2" r:id="rId6"/>
  </sheets>
  <definedNames>
    <definedName name="Building_Electric_Service_Upgrades">Backup!$D$17:$D$18</definedName>
    <definedName name="Building_Enclosure">Backup!$E$17:$E$18</definedName>
    <definedName name="Domestic_Hot_Water_Systems">Backup!$C$17:$C$19</definedName>
    <definedName name="ee_categories">DCAS_EE_list[#Headers]</definedName>
    <definedName name="ee_category">INDEX(DCAS_EE_list[],,ee_category_num)</definedName>
    <definedName name="ee_category_num">MATCH('3 Construction Scope'!$E1,ee_categories,0)</definedName>
    <definedName name="ee_incr_cat">INDEX(ee_incr_measures,,ee_incr_cat_num)</definedName>
    <definedName name="ee_incr_cat_num">MATCH('3 Construction Scope'!#REF!,incr_cost_cats,0)</definedName>
    <definedName name="ee_incr_measures">#REF!</definedName>
    <definedName name="ee_incr_measures_list">INDEX(ee_incr_measures,1,ee_incr_cat_num):INDEX(ee_incr_measures,COUNTA(ee_incr_cat),ee_incr_cat_num)</definedName>
    <definedName name="ee_measures">INDEX(DCAS_EE_list[],1,ee_category_num):INDEX(DCAS_EE_list[],COUNTA(ee_category),ee_category_num)</definedName>
    <definedName name="Energy_Efficiency">Backup!$F$17:$F$23</definedName>
    <definedName name="HVAC_Systems">Backup!$B$17:$B$25</definedName>
    <definedName name="incr_cost_cats">#REF!</definedName>
    <definedName name="locations">INDEX(Locations_list[],,)</definedName>
    <definedName name="measure_types">INDEX(Measure_list[],,)</definedName>
    <definedName name="nc_categories">Backup!$B$16:$F$16</definedName>
    <definedName name="NC_LIST">Backup!$B$17:$C$27</definedName>
    <definedName name="prequal_cat_num">MATCH('3 Construction Scope'!#REF!,prequal_categories,0)</definedName>
    <definedName name="prequal_categories">#REF!</definedName>
    <definedName name="prequal_category">INDEX(prequal_EE_list,,prequal_cat_num)</definedName>
    <definedName name="prequal_EE_list">#REF!</definedName>
    <definedName name="prequal_measures">INDEX(prequal_EE_list,1,prequal_cat_num):INDEX(prequal_EE_list,COUNTA(prequal_category),prequal_cat_num)</definedName>
    <definedName name="re_systems">INDEX(NYSERDA_RE_list[],,)</definedName>
    <definedName name="units">INDEX(Units_list[],,)</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6" l="1"/>
  <c r="P32" i="6"/>
  <c r="Q32" i="6"/>
  <c r="R32" i="6"/>
  <c r="S32" i="6"/>
  <c r="T32" i="6"/>
  <c r="O33" i="6"/>
  <c r="P33" i="6"/>
  <c r="Q33" i="6"/>
  <c r="R33" i="6"/>
  <c r="S33" i="6"/>
  <c r="T33" i="6"/>
  <c r="O34" i="6"/>
  <c r="P34" i="6"/>
  <c r="Q34" i="6"/>
  <c r="R34" i="6"/>
  <c r="S34" i="6"/>
  <c r="T34" i="6"/>
  <c r="O31" i="6"/>
  <c r="P31" i="6"/>
  <c r="Q31" i="6"/>
  <c r="R31" i="6"/>
  <c r="S31" i="6"/>
  <c r="T31" i="6"/>
  <c r="C15" i="8"/>
  <c r="J43" i="6"/>
  <c r="D10" i="5"/>
  <c r="T18" i="6"/>
  <c r="H18" i="6"/>
  <c r="S18" i="6"/>
  <c r="R18" i="6"/>
  <c r="Q18" i="6"/>
  <c r="P18" i="6"/>
  <c r="O18" i="6"/>
  <c r="E28" i="8"/>
  <c r="S6" i="6"/>
  <c r="T6" i="6"/>
  <c r="S7" i="6"/>
  <c r="T7" i="6"/>
  <c r="S8" i="6"/>
  <c r="D25" i="8"/>
  <c r="S9" i="6"/>
  <c r="T9" i="6"/>
  <c r="S10" i="6"/>
  <c r="T10" i="6"/>
  <c r="D27" i="8"/>
  <c r="D26" i="8"/>
  <c r="D23" i="8"/>
  <c r="T8" i="6"/>
  <c r="T11" i="6"/>
  <c r="D24" i="8"/>
  <c r="E4" i="5"/>
  <c r="R20" i="5"/>
  <c r="S20" i="5"/>
  <c r="R21" i="5"/>
  <c r="S21" i="5"/>
  <c r="R22" i="5"/>
  <c r="S22" i="5"/>
  <c r="R23" i="5"/>
  <c r="S23" i="5"/>
  <c r="R24" i="5"/>
  <c r="S24" i="5"/>
  <c r="R25" i="5"/>
  <c r="S25" i="5"/>
  <c r="R26" i="5"/>
  <c r="S26" i="5"/>
  <c r="R27" i="5"/>
  <c r="S27" i="5"/>
  <c r="R28" i="5"/>
  <c r="S28" i="5"/>
  <c r="R29" i="5"/>
  <c r="S29" i="5"/>
  <c r="R30" i="5"/>
  <c r="S30" i="5"/>
  <c r="R31" i="5"/>
  <c r="S31" i="5"/>
  <c r="R32" i="5"/>
  <c r="S32" i="5"/>
  <c r="R33" i="5"/>
  <c r="S33" i="5"/>
  <c r="R34" i="5"/>
  <c r="S34" i="5"/>
  <c r="R35" i="5"/>
  <c r="S35" i="5"/>
  <c r="R36" i="5"/>
  <c r="S36" i="5"/>
  <c r="R37" i="5"/>
  <c r="S37" i="5"/>
  <c r="E27" i="6"/>
  <c r="E24" i="6"/>
  <c r="E25" i="6"/>
  <c r="E26" i="6"/>
  <c r="E28" i="6"/>
  <c r="E29" i="6"/>
  <c r="E30" i="6"/>
  <c r="E31" i="6"/>
  <c r="E23" i="6"/>
  <c r="E32" i="6"/>
  <c r="E33" i="6"/>
  <c r="E34" i="6"/>
  <c r="E35" i="6"/>
  <c r="E36" i="6"/>
  <c r="E37" i="6"/>
  <c r="E38" i="6"/>
  <c r="E39" i="6"/>
  <c r="E40" i="6"/>
  <c r="E41" i="6"/>
  <c r="E42" i="6"/>
  <c r="C17" i="8"/>
  <c r="P24" i="6"/>
  <c r="Q24" i="6"/>
  <c r="P25" i="6"/>
  <c r="Q25" i="6"/>
  <c r="P26" i="6"/>
  <c r="Q26" i="6"/>
  <c r="P27" i="6"/>
  <c r="Q27" i="6"/>
  <c r="P28" i="6"/>
  <c r="Q28" i="6"/>
  <c r="P29" i="6"/>
  <c r="Q29" i="6"/>
  <c r="P30" i="6"/>
  <c r="Q30" i="6"/>
  <c r="P35" i="6"/>
  <c r="Q35" i="6"/>
  <c r="P36" i="6"/>
  <c r="Q36" i="6"/>
  <c r="P37" i="6"/>
  <c r="Q37" i="6"/>
  <c r="P38" i="6"/>
  <c r="Q38" i="6"/>
  <c r="P39" i="6"/>
  <c r="Q39" i="6"/>
  <c r="P40" i="6"/>
  <c r="Q40" i="6"/>
  <c r="P41" i="6"/>
  <c r="Q41" i="6"/>
  <c r="P42" i="6"/>
  <c r="Q42" i="6"/>
  <c r="U43" i="6"/>
  <c r="Q23" i="6"/>
  <c r="P23" i="6"/>
  <c r="G7" i="6"/>
  <c r="I6" i="6"/>
  <c r="E38" i="8"/>
  <c r="O23" i="6"/>
  <c r="K6" i="6"/>
  <c r="L6" i="6"/>
  <c r="P43" i="6"/>
  <c r="M6" i="6"/>
  <c r="N6" i="6"/>
  <c r="Q43" i="6"/>
  <c r="L72" i="7"/>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U60" i="7"/>
  <c r="U61" i="7"/>
  <c r="U62" i="7"/>
  <c r="U63" i="7"/>
  <c r="U64" i="7"/>
  <c r="U65" i="7"/>
  <c r="U66" i="7"/>
  <c r="U67" i="7"/>
  <c r="U68" i="7"/>
  <c r="U69" i="7"/>
  <c r="U70" i="7"/>
  <c r="U71" i="7"/>
  <c r="U12" i="7"/>
  <c r="S12" i="7"/>
  <c r="Q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12" i="7"/>
  <c r="Q72" i="7"/>
  <c r="O6" i="6"/>
  <c r="S72" i="7"/>
  <c r="O72" i="7"/>
  <c r="U72" i="7"/>
  <c r="T72" i="7"/>
  <c r="G12" i="7"/>
  <c r="M72" i="7"/>
  <c r="D12" i="7"/>
  <c r="P18" i="5"/>
  <c r="T25" i="6"/>
  <c r="H25" i="6"/>
  <c r="T24" i="6"/>
  <c r="H24" i="6"/>
  <c r="T27" i="6"/>
  <c r="H27" i="6"/>
  <c r="T28" i="6"/>
  <c r="H28" i="6"/>
  <c r="T29" i="6"/>
  <c r="T30" i="6"/>
  <c r="T35" i="6"/>
  <c r="T36" i="6"/>
  <c r="T37" i="6"/>
  <c r="T38" i="6"/>
  <c r="T39" i="6"/>
  <c r="T40" i="6"/>
  <c r="T41" i="6"/>
  <c r="T42" i="6"/>
  <c r="T26" i="6"/>
  <c r="H26" i="6"/>
  <c r="O25" i="6"/>
  <c r="O26" i="6"/>
  <c r="O27" i="6"/>
  <c r="O28" i="6"/>
  <c r="O29" i="6"/>
  <c r="O30" i="6"/>
  <c r="O35" i="6"/>
  <c r="O36" i="6"/>
  <c r="O37" i="6"/>
  <c r="O38" i="6"/>
  <c r="O39" i="6"/>
  <c r="O40" i="6"/>
  <c r="O41" i="6"/>
  <c r="O42" i="6"/>
  <c r="O24" i="6"/>
  <c r="C24" i="6"/>
  <c r="C25" i="6"/>
  <c r="C26" i="6"/>
  <c r="C27" i="6"/>
  <c r="C28" i="6"/>
  <c r="C29" i="6"/>
  <c r="C30" i="6"/>
  <c r="C31" i="6"/>
  <c r="C32" i="6"/>
  <c r="C33" i="6"/>
  <c r="C34" i="6"/>
  <c r="C35" i="6"/>
  <c r="C36" i="6"/>
  <c r="C37" i="6"/>
  <c r="C38" i="6"/>
  <c r="C39" i="6"/>
  <c r="C40" i="6"/>
  <c r="C41" i="6"/>
  <c r="C42" i="6"/>
  <c r="P23" i="5"/>
  <c r="G28" i="6"/>
  <c r="C23" i="6"/>
  <c r="G10" i="6"/>
  <c r="G9" i="6"/>
  <c r="G8" i="6"/>
  <c r="G6" i="6"/>
  <c r="G11" i="6"/>
  <c r="I7" i="6"/>
  <c r="I8" i="6"/>
  <c r="I9" i="6"/>
  <c r="K9" i="6"/>
  <c r="I10" i="6"/>
  <c r="G12" i="6"/>
  <c r="U11" i="6"/>
  <c r="I11" i="6"/>
  <c r="R72" i="7"/>
  <c r="F12" i="7"/>
  <c r="P24" i="5"/>
  <c r="G29" i="6"/>
  <c r="P25" i="5"/>
  <c r="P26" i="5"/>
  <c r="P27" i="5"/>
  <c r="P28" i="5"/>
  <c r="G33" i="6"/>
  <c r="P29" i="5"/>
  <c r="G34" i="6"/>
  <c r="P30" i="5"/>
  <c r="G35" i="6"/>
  <c r="P31" i="5"/>
  <c r="G36" i="6"/>
  <c r="P32" i="5"/>
  <c r="G37" i="6"/>
  <c r="P33" i="5"/>
  <c r="G38" i="6"/>
  <c r="P34" i="5"/>
  <c r="G39" i="6"/>
  <c r="P35" i="5"/>
  <c r="G40" i="6"/>
  <c r="P36" i="5"/>
  <c r="G41" i="6"/>
  <c r="P37" i="5"/>
  <c r="T23" i="6"/>
  <c r="C23" i="8"/>
  <c r="D15" i="7"/>
  <c r="I12" i="6"/>
  <c r="D20" i="7"/>
  <c r="G30" i="6"/>
  <c r="G31" i="6"/>
  <c r="G32" i="6"/>
  <c r="G42" i="6"/>
  <c r="H23" i="6"/>
  <c r="G23" i="6"/>
  <c r="D21" i="7"/>
  <c r="I23" i="6"/>
  <c r="C24" i="8"/>
  <c r="C25" i="8"/>
  <c r="C26" i="8"/>
  <c r="C27" i="8"/>
  <c r="C35" i="8"/>
  <c r="C31" i="8"/>
  <c r="C32" i="8"/>
  <c r="C34" i="8"/>
  <c r="C33" i="8"/>
  <c r="C36" i="8"/>
  <c r="C8" i="9"/>
  <c r="I28" i="6"/>
  <c r="H29" i="6"/>
  <c r="I29" i="6"/>
  <c r="H30" i="6"/>
  <c r="I30" i="6"/>
  <c r="H31" i="6"/>
  <c r="I31" i="6"/>
  <c r="H32" i="6"/>
  <c r="I32" i="6"/>
  <c r="H33" i="6"/>
  <c r="I33" i="6"/>
  <c r="H34" i="6"/>
  <c r="I34" i="6"/>
  <c r="H35" i="6"/>
  <c r="I35" i="6"/>
  <c r="H36" i="6"/>
  <c r="I36" i="6"/>
  <c r="H37" i="6"/>
  <c r="I37" i="6"/>
  <c r="H38" i="6"/>
  <c r="I38" i="6"/>
  <c r="H39" i="6"/>
  <c r="I39" i="6"/>
  <c r="H40" i="6"/>
  <c r="I40" i="6"/>
  <c r="H41" i="6"/>
  <c r="I41" i="6"/>
  <c r="H42" i="6"/>
  <c r="I42" i="6"/>
  <c r="T43" i="6"/>
  <c r="C28" i="8"/>
  <c r="C7" i="9"/>
  <c r="L10" i="6"/>
  <c r="M10" i="6"/>
  <c r="K10" i="6"/>
  <c r="L9" i="6"/>
  <c r="M9" i="6"/>
  <c r="L8" i="6"/>
  <c r="K8" i="6"/>
  <c r="K7" i="6"/>
  <c r="L7" i="6"/>
  <c r="H43" i="6"/>
  <c r="D17" i="7"/>
  <c r="R29" i="6"/>
  <c r="R35" i="6"/>
  <c r="R26" i="6"/>
  <c r="R25" i="6"/>
  <c r="R36" i="6"/>
  <c r="R42" i="6"/>
  <c r="R23" i="6"/>
  <c r="R24" i="6"/>
  <c r="R38" i="6"/>
  <c r="R37" i="6"/>
  <c r="R30" i="6"/>
  <c r="R40" i="6"/>
  <c r="R39" i="6"/>
  <c r="R28" i="6"/>
  <c r="R41" i="6"/>
  <c r="R27" i="6"/>
  <c r="M7" i="6"/>
  <c r="D16" i="7"/>
  <c r="D13" i="7"/>
  <c r="D22" i="7"/>
  <c r="N7" i="6"/>
  <c r="N10" i="6"/>
  <c r="O10" i="6"/>
  <c r="M8" i="6"/>
  <c r="N8" i="6"/>
  <c r="O8" i="6"/>
  <c r="N9" i="6"/>
  <c r="O9" i="6"/>
  <c r="K11" i="6"/>
  <c r="O43" i="6"/>
  <c r="P72" i="7"/>
  <c r="N43" i="6"/>
  <c r="F27" i="8"/>
  <c r="M43" i="6"/>
  <c r="L43" i="6"/>
  <c r="K43" i="6"/>
  <c r="E15" i="7"/>
  <c r="K12" i="6"/>
  <c r="E20" i="7"/>
  <c r="S23" i="6"/>
  <c r="S27" i="6"/>
  <c r="S38" i="6"/>
  <c r="S40" i="6"/>
  <c r="S29" i="6"/>
  <c r="S42" i="6"/>
  <c r="S41" i="6"/>
  <c r="S36" i="6"/>
  <c r="S26" i="6"/>
  <c r="S37" i="6"/>
  <c r="S39" i="6"/>
  <c r="S25" i="6"/>
  <c r="S24" i="6"/>
  <c r="S28" i="6"/>
  <c r="S35" i="6"/>
  <c r="S30" i="6"/>
  <c r="M11" i="6"/>
  <c r="D18" i="7"/>
  <c r="D41" i="8"/>
  <c r="F26" i="8"/>
  <c r="O7" i="6"/>
  <c r="O11" i="6"/>
  <c r="O12" i="6"/>
  <c r="F28" i="8"/>
  <c r="F7" i="9"/>
  <c r="E16" i="7"/>
  <c r="E13" i="7"/>
  <c r="R43" i="6"/>
  <c r="F25" i="8"/>
  <c r="F24" i="8"/>
  <c r="E12" i="7"/>
  <c r="E17" i="7"/>
  <c r="D35" i="8"/>
  <c r="F35" i="8"/>
  <c r="E27" i="8"/>
  <c r="F15" i="7"/>
  <c r="F16" i="7"/>
  <c r="F13" i="7"/>
  <c r="M12" i="6"/>
  <c r="F20" i="7"/>
  <c r="D34" i="8"/>
  <c r="F34" i="8"/>
  <c r="E26" i="8"/>
  <c r="E21" i="7"/>
  <c r="E22" i="7"/>
  <c r="D42" i="8"/>
  <c r="D23" i="7"/>
  <c r="G15" i="7"/>
  <c r="G16" i="7"/>
  <c r="G13" i="7"/>
  <c r="E18" i="7"/>
  <c r="E7" i="9"/>
  <c r="D28" i="8"/>
  <c r="D7" i="9"/>
  <c r="C41" i="8"/>
  <c r="E41" i="8"/>
  <c r="F23" i="8"/>
  <c r="D31" i="8"/>
  <c r="F31" i="8"/>
  <c r="S43" i="6"/>
  <c r="E25" i="8"/>
  <c r="D33" i="8"/>
  <c r="F33" i="8"/>
  <c r="E24" i="8"/>
  <c r="D32" i="8"/>
  <c r="F32" i="8"/>
  <c r="E23" i="8"/>
  <c r="E35" i="8"/>
  <c r="E34" i="8"/>
  <c r="E23" i="7"/>
  <c r="F21" i="7"/>
  <c r="F22" i="7"/>
  <c r="G17" i="7"/>
  <c r="G18" i="7"/>
  <c r="C42" i="8"/>
  <c r="F17" i="7"/>
  <c r="F18" i="7"/>
  <c r="E31" i="8"/>
  <c r="E33" i="8"/>
  <c r="D36" i="8"/>
  <c r="E36" i="8"/>
  <c r="E32" i="8"/>
  <c r="E47" i="8"/>
  <c r="E48" i="8"/>
  <c r="G22" i="7"/>
  <c r="D44" i="8"/>
  <c r="G20" i="7"/>
  <c r="G21" i="7"/>
  <c r="D43" i="8"/>
  <c r="F23" i="7"/>
  <c r="C44" i="8"/>
  <c r="C43" i="8"/>
  <c r="E8" i="9"/>
  <c r="D8" i="9"/>
  <c r="F36" i="8"/>
  <c r="F8" i="9"/>
  <c r="G23" i="7"/>
  <c r="E43" i="8"/>
  <c r="E50" i="8"/>
  <c r="F14" i="9"/>
  <c r="E44" i="8"/>
  <c r="E51" i="8"/>
  <c r="F15" i="9"/>
  <c r="F44" i="8"/>
  <c r="F11" i="9"/>
  <c r="P22" i="5"/>
  <c r="P19" i="5"/>
  <c r="P20" i="5"/>
  <c r="P21" i="5"/>
  <c r="D8" i="5"/>
  <c r="G26" i="6"/>
  <c r="I26" i="6"/>
  <c r="G27" i="6"/>
  <c r="I27" i="6"/>
  <c r="G25" i="6"/>
  <c r="I25" i="6"/>
  <c r="P38" i="5"/>
  <c r="G24" i="6"/>
  <c r="C18" i="8"/>
  <c r="C19" i="8"/>
  <c r="D9" i="5"/>
  <c r="G43" i="6"/>
  <c r="I43" i="6"/>
  <c r="I24" i="6"/>
  <c r="F12" i="9"/>
  <c r="F41" i="8"/>
  <c r="F42" i="8"/>
  <c r="E42" i="8"/>
  <c r="E49" i="8"/>
  <c r="F13" i="9"/>
  <c r="F4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Lainie Rowland (NYCEEC)</author>
    <author>PATRICK O’DONNELL</author>
  </authors>
  <commentList>
    <comment ref="B38" authorId="0" shapeId="0" xr:uid="{9364F51B-2984-4640-AB5D-D7D3B9EF0614}">
      <text>
        <r>
          <rPr>
            <b/>
            <sz val="9"/>
            <color indexed="81"/>
            <rFont val="Tahoma"/>
            <family val="2"/>
          </rPr>
          <t xml:space="preserve">C-PACE Admin: </t>
        </r>
        <r>
          <rPr>
            <sz val="9"/>
            <color indexed="81"/>
            <rFont val="Tahoma"/>
            <family val="2"/>
          </rPr>
          <t>Refers to 'other savings' (e.g., O&amp;M savings) included in Savings Analysis Tab. Does not include LL97 Savings from avoided compliance costs. Also does not include social cost value of carbon.</t>
        </r>
      </text>
    </comment>
    <comment ref="B46" authorId="1" shapeId="0" xr:uid="{2BA2B0D2-AEA3-41B2-B0E6-FCE50A6C7F63}">
      <text>
        <r>
          <rPr>
            <b/>
            <sz val="9"/>
            <color indexed="81"/>
            <rFont val="Tahoma"/>
            <family val="2"/>
          </rPr>
          <t>C-PACE Admin:</t>
        </r>
        <r>
          <rPr>
            <sz val="9"/>
            <color indexed="81"/>
            <rFont val="Tahoma"/>
            <family val="2"/>
          </rPr>
          <t xml:space="preserve"> Does not include social cost value of carbon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PATRICK O’DONNELL</author>
    <author>Megan Rosa</author>
  </authors>
  <commentList>
    <comment ref="B9" authorId="0" shapeId="0" xr:uid="{48062C80-1847-4645-B01E-91E62011784D}">
      <text>
        <r>
          <rPr>
            <b/>
            <sz val="9"/>
            <color indexed="81"/>
            <rFont val="Tahoma"/>
            <family val="2"/>
          </rPr>
          <t xml:space="preserve">C-PACE ADMIN: </t>
        </r>
        <r>
          <rPr>
            <sz val="9"/>
            <color indexed="81"/>
            <rFont val="Tahoma"/>
            <family val="2"/>
          </rPr>
          <t>Per guidance, this value must be less than or equal to the Max Eligible C-PACE Loan %</t>
        </r>
      </text>
    </comment>
    <comment ref="B11" authorId="1" shapeId="0" xr:uid="{91C33818-ED4D-489A-8D2F-0117C60467FB}">
      <text>
        <r>
          <rPr>
            <b/>
            <sz val="9"/>
            <color indexed="81"/>
            <rFont val="Tahoma"/>
            <family val="2"/>
          </rPr>
          <t>C-PACE ADMIN:</t>
        </r>
        <r>
          <rPr>
            <sz val="9"/>
            <color indexed="81"/>
            <rFont val="Tahoma"/>
            <family val="2"/>
          </rPr>
          <t xml:space="preserve"> Per Technical Supplement
</t>
        </r>
      </text>
    </comment>
    <comment ref="K16" authorId="1" shapeId="0" xr:uid="{4E8F558B-3CFB-492D-8785-7F50548EDE83}">
      <text>
        <r>
          <rPr>
            <b/>
            <sz val="11"/>
            <color indexed="81"/>
            <rFont val="Tahoma"/>
            <family val="2"/>
          </rPr>
          <t>C-PACE ADMIN:</t>
        </r>
        <r>
          <rPr>
            <sz val="11"/>
            <color indexed="81"/>
            <rFont val="Tahoma"/>
            <family val="2"/>
          </rPr>
          <t xml:space="preserve"> If no capacity put "N/A"
</t>
        </r>
      </text>
    </comment>
    <comment ref="O16" authorId="1" shapeId="0" xr:uid="{09941B37-B6C1-48C9-A2B6-6D63F653B2F9}">
      <text>
        <r>
          <rPr>
            <b/>
            <sz val="9"/>
            <color indexed="81"/>
            <rFont val="Tahoma"/>
            <family val="2"/>
          </rPr>
          <t>C-PACE ADMIN:</t>
        </r>
        <r>
          <rPr>
            <sz val="9"/>
            <color indexed="81"/>
            <rFont val="Tahoma"/>
            <family val="2"/>
          </rPr>
          <t xml:space="preserve"> Unit cost should reflect upfront costs (i.e., costs before incentives or tax credits for energy efficiency improvements. </t>
        </r>
      </text>
    </comment>
    <comment ref="P16" authorId="0" shapeId="0" xr:uid="{761810C5-7C72-48D1-B858-B7E77A408897}">
      <text>
        <r>
          <rPr>
            <b/>
            <sz val="9"/>
            <color indexed="81"/>
            <rFont val="Tahoma"/>
            <family val="2"/>
          </rPr>
          <t>C-PACE ADMIN:
C</t>
        </r>
        <r>
          <rPr>
            <sz val="9"/>
            <color indexed="81"/>
            <rFont val="Tahoma"/>
            <family val="2"/>
          </rPr>
          <t>osts should be disaggregated by construction division per NYSERDA CBR guidance</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Lainie Rowland (NYCEEC)</author>
    <author>PATRICK O’DONNELL</author>
    <author>Megan Rosa</author>
  </authors>
  <commentList>
    <comment ref="E4" authorId="0" shapeId="0" xr:uid="{739F7233-59F8-44A6-934C-5E466D90145E}">
      <text>
        <r>
          <rPr>
            <b/>
            <sz val="9"/>
            <color indexed="81"/>
            <rFont val="Tahoma"/>
            <family val="2"/>
          </rPr>
          <t xml:space="preserve">C-PACE ADMIN: </t>
        </r>
        <r>
          <rPr>
            <sz val="9"/>
            <color indexed="81"/>
            <rFont val="Tahoma"/>
            <family val="2"/>
          </rPr>
          <t xml:space="preserve">Baseline usage based on energy model for code baseline building. See Technical Supplement for additional information and notes.
</t>
        </r>
      </text>
    </comment>
    <comment ref="F4" authorId="1" shapeId="0" xr:uid="{8D60BFFC-AE96-4FCA-B877-D56B0026958E}">
      <text>
        <r>
          <rPr>
            <b/>
            <sz val="9"/>
            <color indexed="81"/>
            <rFont val="Tahoma"/>
            <family val="2"/>
          </rPr>
          <t xml:space="preserve">C-PACE ADMIN: </t>
        </r>
        <r>
          <rPr>
            <sz val="9"/>
            <color indexed="81"/>
            <rFont val="Tahoma"/>
            <family val="2"/>
          </rPr>
          <t xml:space="preserve">Blended rates for the proposed utility tariffs
</t>
        </r>
      </text>
    </comment>
    <comment ref="H4" authorId="0" shapeId="0" xr:uid="{39CB6AD6-AD9C-480A-88AD-ED57CFFD83D5}">
      <text>
        <r>
          <rPr>
            <b/>
            <sz val="9"/>
            <color indexed="81"/>
            <rFont val="Tahoma"/>
            <family val="2"/>
          </rPr>
          <t xml:space="preserve">C-PACE ADMIN: </t>
        </r>
        <r>
          <rPr>
            <sz val="9"/>
            <color indexed="81"/>
            <rFont val="Tahoma"/>
            <family val="2"/>
          </rPr>
          <t>Electricity coefficient given as tons CO2e/kWh, whereas all other coefficients are given as /kbtu.</t>
        </r>
      </text>
    </comment>
    <comment ref="S4" authorId="0" shapeId="0" xr:uid="{C21C6DF2-BB70-4B45-9BA7-B98D2F2A1E8E}">
      <text>
        <r>
          <rPr>
            <b/>
            <sz val="9"/>
            <color indexed="81"/>
            <rFont val="Tahoma"/>
            <family val="2"/>
          </rPr>
          <t xml:space="preserve">C-PACE ADMIN: </t>
        </r>
        <r>
          <rPr>
            <sz val="9"/>
            <color indexed="81"/>
            <rFont val="Tahoma"/>
            <family val="2"/>
          </rPr>
          <t xml:space="preserve">Baseline usage based on energy model for code baseline building. See Technical Supplement for additional information and notes.
</t>
        </r>
      </text>
    </comment>
    <comment ref="J15" authorId="2" shapeId="0" xr:uid="{BC6E4BC9-8934-4818-B7E0-4BCBF1AE1353}">
      <text>
        <r>
          <rPr>
            <b/>
            <sz val="9"/>
            <color indexed="81"/>
            <rFont val="Tahoma"/>
            <family val="2"/>
          </rPr>
          <t xml:space="preserve">C-PACE ADMIN: </t>
        </r>
        <r>
          <rPr>
            <sz val="9"/>
            <color indexed="81"/>
            <rFont val="Tahoma"/>
            <family val="2"/>
          </rPr>
          <t>Eligible Soft Costs and Ancillary Measures are not measures with eligible projected savings. Please note an error message will appear if trying to enter savings for the types of measures.</t>
        </r>
        <r>
          <rPr>
            <b/>
            <sz val="9"/>
            <color indexed="81"/>
            <rFont val="Tahoma"/>
            <family val="2"/>
          </rPr>
          <t xml:space="preserve">
</t>
        </r>
        <r>
          <rPr>
            <sz val="9"/>
            <color indexed="81"/>
            <rFont val="Tahoma"/>
            <family val="2"/>
          </rPr>
          <t xml:space="preserve">
</t>
        </r>
      </text>
    </comment>
    <comment ref="J20" authorId="2" shapeId="0" xr:uid="{764E4D19-B792-4B24-B1FD-86CFDCB91556}">
      <text>
        <r>
          <rPr>
            <b/>
            <sz val="9"/>
            <color indexed="81"/>
            <rFont val="Tahoma"/>
            <family val="2"/>
          </rPr>
          <t xml:space="preserve">C-PACE ADMIN: </t>
        </r>
        <r>
          <rPr>
            <sz val="9"/>
            <color indexed="81"/>
            <rFont val="Tahoma"/>
            <family val="2"/>
          </rPr>
          <t>Eligible Soft Costs and Ancillary Measures are not measures with eligible projected savings. Please note an error message will appear if trying to enter savings for the types of measures.</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<sst xmlns="http://schemas.openxmlformats.org/spreadsheetml/2006/main" count="833" uniqueCount="691">
  <si>
    <t>Electricity</t>
  </si>
  <si>
    <t>Gross Floor Area</t>
  </si>
  <si>
    <t>Measure type</t>
  </si>
  <si>
    <t>Choose one</t>
  </si>
  <si>
    <t>If applicable, choose one</t>
  </si>
  <si>
    <t>Unit</t>
  </si>
  <si>
    <t>Install advanced BMS or energy management system</t>
  </si>
  <si>
    <t>Implement hot water reset based on outdoor air temperature</t>
  </si>
  <si>
    <t>Install control for optimum start / pre-warm / pre-cool</t>
  </si>
  <si>
    <t>Install monitor for fuel oil level, oil pressure, or coolant level</t>
  </si>
  <si>
    <t>Install or replace thermostat (other than programmable radiator thermostat)</t>
  </si>
  <si>
    <t>Install remote or tamper proof thermostat</t>
  </si>
  <si>
    <t>Replace outside air sensor with local weather station data</t>
  </si>
  <si>
    <t>Upgrade zone controls</t>
  </si>
  <si>
    <t>Replace CO2 sensor</t>
  </si>
  <si>
    <t>Replace controls</t>
  </si>
  <si>
    <t>Convert pneumatic control to direct digital control</t>
  </si>
  <si>
    <t>Adjust setpoints and setbacks for major system components</t>
  </si>
  <si>
    <t>Adjust setpoints and setbacks for minor system components</t>
  </si>
  <si>
    <t>Increase zone temperature deadband</t>
  </si>
  <si>
    <t>Install VAV tracking for duct pressure reset</t>
  </si>
  <si>
    <t>Repair temperature or pressure reset function</t>
  </si>
  <si>
    <t>Verify simultaneous heating and cooling does not occur unless intended</t>
  </si>
  <si>
    <t>Check monitoring sensors for proper calibration</t>
  </si>
  <si>
    <t>Restore VFD operation</t>
  </si>
  <si>
    <t>Restore time of day operation</t>
  </si>
  <si>
    <t>Calibrate thermostats and/or control valves</t>
  </si>
  <si>
    <t>Develop manual override protocol</t>
  </si>
  <si>
    <t>Implement outdoor air reset</t>
  </si>
  <si>
    <t>Optimize scheduling control</t>
  </si>
  <si>
    <t>Shutdown uneeded equipment</t>
  </si>
  <si>
    <t>Restore controls to automatic operation</t>
  </si>
  <si>
    <t>Optimize location of global sensor</t>
  </si>
  <si>
    <t>Control cooling to NYC cooling guidelines</t>
  </si>
  <si>
    <t>Legacy Reset Pressure/Temperature/Humidity Set points on System components</t>
  </si>
  <si>
    <t>Troubleshoot and repair communication with BMS/EMS/EMCS</t>
  </si>
  <si>
    <t>Repair failed controls</t>
  </si>
  <si>
    <t>Install or increase attic or knee wall insulation</t>
  </si>
  <si>
    <t>Install solar window shade</t>
  </si>
  <si>
    <t>Install low-e window film</t>
  </si>
  <si>
    <t>Cover or remove window or through-wall air conditioners during heating season</t>
  </si>
  <si>
    <t>Install automatic damper in stairwell or elevator shaft</t>
  </si>
  <si>
    <t>Install vestibule, air lock, or revolving door</t>
  </si>
  <si>
    <t>Seal penetrations other than windows or doors</t>
  </si>
  <si>
    <t>Weather seal and/or repair window or door</t>
  </si>
  <si>
    <t>Install or increase ceiling insulation</t>
  </si>
  <si>
    <t>Install or increase floor slab and/or foundation insulation</t>
  </si>
  <si>
    <t>Install or increase roof or soffit insulation</t>
  </si>
  <si>
    <t>Install or increase wall insulation</t>
  </si>
  <si>
    <t>Install reflective coating or green or blue roof</t>
  </si>
  <si>
    <t>Install or replace exterior solar screens</t>
  </si>
  <si>
    <t>Install or increase foundation insulation</t>
  </si>
  <si>
    <t>Insulate thermal bridge</t>
  </si>
  <si>
    <t>Replace exterior door</t>
  </si>
  <si>
    <t>Install rapid roll-up garage door</t>
  </si>
  <si>
    <t>Replace glazing with high performance glazing</t>
  </si>
  <si>
    <t>Replace window assembly with high performance window assembly</t>
  </si>
  <si>
    <t>Install wastewater heat recovery</t>
  </si>
  <si>
    <t>Install or increase insulation for non-pipe distribution components</t>
  </si>
  <si>
    <t>Install control for steam pressure reducing valve station</t>
  </si>
  <si>
    <t>Install feedback control for pressurized steam system</t>
  </si>
  <si>
    <t>Replace or install thermostatic radiator valve/programmable radiator thermostat</t>
  </si>
  <si>
    <t>Replace steam pressure reducing valve</t>
  </si>
  <si>
    <t>Replace steam radiator air vent (one-pipe system)</t>
  </si>
  <si>
    <t>Install water temperature sensors and optimize controls</t>
  </si>
  <si>
    <t>Replace steam controller</t>
  </si>
  <si>
    <t>Upgrade heat exchanger controls</t>
  </si>
  <si>
    <t>Install or increase heating or cooling system pipe insulation</t>
  </si>
  <si>
    <t>Add recirculating pumps</t>
  </si>
  <si>
    <t>Repair distribution pipe or valve</t>
  </si>
  <si>
    <t>Repair distribution pump or compressor, not including motor</t>
  </si>
  <si>
    <t>Repair or replace aquastat</t>
  </si>
  <si>
    <t>Repair feed water tank</t>
  </si>
  <si>
    <t>Repair condensate system</t>
  </si>
  <si>
    <t>Clean or repair fan coil unit or fin tube radiator</t>
  </si>
  <si>
    <t>Repair or clean heat exchanger</t>
  </si>
  <si>
    <t>Clean water distribution loop</t>
  </si>
  <si>
    <t>Install or upgrade master steam system venting</t>
  </si>
  <si>
    <t>Install steam condensate heat recovery</t>
  </si>
  <si>
    <t>Install radiator covers</t>
  </si>
  <si>
    <t>Implement steam trap maintenance program</t>
  </si>
  <si>
    <t>Repair and/or replace steam trap</t>
  </si>
  <si>
    <t>Replace steam trap with orifice plate (two-pipe system)</t>
  </si>
  <si>
    <t>Replace condensate return system</t>
  </si>
  <si>
    <t>Replace vacuum steam condensate return pump</t>
  </si>
  <si>
    <t>Vent flash steam from condensate return unit</t>
  </si>
  <si>
    <t>Separate service hot water from heating system</t>
  </si>
  <si>
    <t>Testing, adjusting, and balancing of chilled / hot water distribution system</t>
  </si>
  <si>
    <t>Adjust aquastat setpoint</t>
  </si>
  <si>
    <t>Restore steam, chilled / hot  / condenser water valve control</t>
  </si>
  <si>
    <t>Adjust mixing valve</t>
  </si>
  <si>
    <t>Adjust pressure drop</t>
  </si>
  <si>
    <t>Optimize operating differential to avoid short cycling</t>
  </si>
  <si>
    <t>Reduce chilled water pump flow</t>
  </si>
  <si>
    <t>Adjust pump control valves</t>
  </si>
  <si>
    <t>Insulate receiver / expansion / condensate tank</t>
  </si>
  <si>
    <t>Replace expansion / receiver / condensate tank</t>
  </si>
  <si>
    <t>Install freeze protection for piping</t>
  </si>
  <si>
    <t>Perform chilled water pump survey</t>
  </si>
  <si>
    <t>Perform steam trap survey</t>
  </si>
  <si>
    <t>Replace hot water or chilled water pumps</t>
  </si>
  <si>
    <t>Replace drip pans</t>
  </si>
  <si>
    <t>Install additional chilled water system</t>
  </si>
  <si>
    <t>Upgrade, install or replace TRVs, thermostats, CVs, actuators, dampers</t>
  </si>
  <si>
    <t>Install chiller heat recovery</t>
  </si>
  <si>
    <t>Install waterside economizer</t>
  </si>
  <si>
    <t>Improve waterside economizer function</t>
  </si>
  <si>
    <t>Install cooling tower to support conversion to water cooled HVAC package units</t>
  </si>
  <si>
    <t>Replace cooling tower with higher efficiency cooling tower</t>
  </si>
  <si>
    <t>Calibrate, relocate, or repair chilled water temperature sensor</t>
  </si>
  <si>
    <t>Install control to stage chillers</t>
  </si>
  <si>
    <t>Install or replace chilled water temperature sensor</t>
  </si>
  <si>
    <t>Install or replace meter for cooling tower make-up water</t>
  </si>
  <si>
    <t>Install or replace chiller controller</t>
  </si>
  <si>
    <t>Repair chiller plant components</t>
  </si>
  <si>
    <t>Repair or clean cooling tower</t>
  </si>
  <si>
    <t>Install or replace treatment or filtration system for chilled water plant</t>
  </si>
  <si>
    <t>Install variable primary cooling plant pump</t>
  </si>
  <si>
    <t>Upgrade condenser water pump</t>
  </si>
  <si>
    <t>Overhaul or recondition compressor</t>
  </si>
  <si>
    <t>Install VSD on electric centrifugal chillers</t>
  </si>
  <si>
    <t>Install separate base load cooling system</t>
  </si>
  <si>
    <t>Replace electric chiller with absorption chiller</t>
  </si>
  <si>
    <t>Replace electric chiller with higher efficiency electric chiller</t>
  </si>
  <si>
    <t>Replace absorption chiller with electric chiller</t>
  </si>
  <si>
    <t>Implement chilled water reset control strategy</t>
  </si>
  <si>
    <t>Implement condenser water reset control strategy</t>
  </si>
  <si>
    <t>Implement cooling tower load-sharing</t>
  </si>
  <si>
    <t>Optimize condenser water controls</t>
  </si>
  <si>
    <t>Optimize cooling tower chemical treatment program</t>
  </si>
  <si>
    <t>Optimize head pressure control for condenser fans</t>
  </si>
  <si>
    <t>Optimize sequencing for multiple chillers</t>
  </si>
  <si>
    <t>Reoptimize chilled water temperature reset</t>
  </si>
  <si>
    <t>Reoptimize condenser temperature reset</t>
  </si>
  <si>
    <t>Modulate cooling tower fan speed</t>
  </si>
  <si>
    <t>Add engine driven chiller</t>
  </si>
  <si>
    <t>Add elevator regenerative drives</t>
  </si>
  <si>
    <t>Upgrade elevator / escalator controls</t>
  </si>
  <si>
    <t>Upgrade elevator hydraulic systems</t>
  </si>
  <si>
    <t>Upgrade elevator / escalator motor</t>
  </si>
  <si>
    <t>Repair elevator components</t>
  </si>
  <si>
    <t>Replace server with virtual server or replace desktop with laptop</t>
  </si>
  <si>
    <t>Install separate cooling system for data center</t>
  </si>
  <si>
    <t>Replace computer room air conditioner with transfer air</t>
  </si>
  <si>
    <t>Decommission or re-purpose servers</t>
  </si>
  <si>
    <t>Optimize temperature set points in server rooms</t>
  </si>
  <si>
    <t>Upgrade server to higher efficiency server</t>
  </si>
  <si>
    <t>Repair distributed generation equipment</t>
  </si>
  <si>
    <t>Install cogeneration system</t>
  </si>
  <si>
    <t>Install fuel cell</t>
  </si>
  <si>
    <t>Install microturbine on district steam service</t>
  </si>
  <si>
    <t>Improve operating protocols or calibration for distributed generation systems</t>
  </si>
  <si>
    <t>Install electric battery storage</t>
  </si>
  <si>
    <t>Install thermal energy storage</t>
  </si>
  <si>
    <t>Install load shedding capability</t>
  </si>
  <si>
    <t>Reduce Peak demands caused by Air Conditioning and/or electric heating</t>
  </si>
  <si>
    <t>Rewire, adjust, repair interlocking or imbalance in electric distribution</t>
  </si>
  <si>
    <t>Install power factor correction device</t>
  </si>
  <si>
    <t>Install power conditioning to improve power quality</t>
  </si>
  <si>
    <t>Consolidate electric meters</t>
  </si>
  <si>
    <t>Install uninterruptible power supply</t>
  </si>
  <si>
    <t>Upgrade electrical panel</t>
  </si>
  <si>
    <t>Upgrade transformer</t>
  </si>
  <si>
    <t>Replace electrical outlets</t>
  </si>
  <si>
    <t>Provide power to HVAC equipment</t>
  </si>
  <si>
    <t>Energy/PowerStation Modification</t>
  </si>
  <si>
    <t>Install daylight sensor and lighting control</t>
  </si>
  <si>
    <t>Rewire fixtures or add dimming ballast to allow daylight control</t>
  </si>
  <si>
    <t>Install bi-level lighting for egress or area with 24/7 use</t>
  </si>
  <si>
    <t>Install occupancy / vacancy sensor and lighting control</t>
  </si>
  <si>
    <t>Calibrate, relocate, or repair lighting sensor or control</t>
  </si>
  <si>
    <t>Clean light fixtures, covers, and lamps</t>
  </si>
  <si>
    <t>Repair lighting and/or wiring</t>
  </si>
  <si>
    <t>Install light shelf or tubular daylighting device</t>
  </si>
  <si>
    <t>Install new exterior window or skylight opening</t>
  </si>
  <si>
    <t>Install photocell or time clock control for exterior lighting</t>
  </si>
  <si>
    <t>Install time clock control for interior lighting</t>
  </si>
  <si>
    <t>Delamp lighting fixtures in overlit areas</t>
  </si>
  <si>
    <t>Install task lighting to reduce dependence on general illumination</t>
  </si>
  <si>
    <t>Replace diffusers</t>
  </si>
  <si>
    <t>Install advanced lighting technology</t>
  </si>
  <si>
    <t>Replace lamps with LED lamps</t>
  </si>
  <si>
    <t>Replace lighting fixtures with LED fixtures</t>
  </si>
  <si>
    <t>Replace street lights with LED fixtures</t>
  </si>
  <si>
    <t>Replace with T-5 fixtures</t>
  </si>
  <si>
    <t>Replace with T-8 fixtures</t>
  </si>
  <si>
    <t>Replace with CFL fixtures</t>
  </si>
  <si>
    <t>Replace exit signs with LED exit signs</t>
  </si>
  <si>
    <t>Install high efficiency exterior site, facade, security or parking lighting</t>
  </si>
  <si>
    <t>Optimize or calibrate lighting controls</t>
  </si>
  <si>
    <t>Implement overnight lighting schedule</t>
  </si>
  <si>
    <t>Adjust vacancy control settings</t>
  </si>
  <si>
    <t>Optimize lighting levels</t>
  </si>
  <si>
    <t>Replace lighting control system</t>
  </si>
  <si>
    <t>Install VFD for distribution pump</t>
  </si>
  <si>
    <t>Install VFD for HVAC fan</t>
  </si>
  <si>
    <t>Install VFD for cooling tower</t>
  </si>
  <si>
    <t>Replace failed fan or pump VFD</t>
  </si>
  <si>
    <t>Repair motors/drives</t>
  </si>
  <si>
    <t>Clean motors/drives</t>
  </si>
  <si>
    <t>Replace pump or fan motor with premium efficiency motor</t>
  </si>
  <si>
    <t>Operate VFDs at maximum turndown, vary by season, time of day, and occupancy</t>
  </si>
  <si>
    <t>Adjust belt guard</t>
  </si>
  <si>
    <t>Adjust motor belt tension</t>
  </si>
  <si>
    <t>Perform motor vibration analysis</t>
  </si>
  <si>
    <t>Reconnect motor</t>
  </si>
  <si>
    <t>Balance motor phases</t>
  </si>
  <si>
    <t>Replace motor starter and magnetic coils</t>
  </si>
  <si>
    <t>Insulate duct</t>
  </si>
  <si>
    <t>Install enthalpy wheel</t>
  </si>
  <si>
    <t>Install heat pipe</t>
  </si>
  <si>
    <t>Install heat recovery from swimming pool air</t>
  </si>
  <si>
    <t>Install run-around loop (liquid coupled heat exchanger)</t>
  </si>
  <si>
    <t>Install ventilation heat or energy recovery</t>
  </si>
  <si>
    <t>Dehumidification with heat exchanger</t>
  </si>
  <si>
    <t>Install dual-path electric system</t>
  </si>
  <si>
    <t>Install electrical desiccant system</t>
  </si>
  <si>
    <t>Improve airside economizer function</t>
  </si>
  <si>
    <t>Install airside economizer</t>
  </si>
  <si>
    <t>Repair components to enable economizer operation</t>
  </si>
  <si>
    <t>Add enthalpy economizer</t>
  </si>
  <si>
    <t>Calibrate, relocate, or repair HVAC temperature sensor</t>
  </si>
  <si>
    <t>Install or replace HVAC differential pressure sensor</t>
  </si>
  <si>
    <t>Install or replace HVAC temperature sensor</t>
  </si>
  <si>
    <t>Install or replace HVAC timer for schedule control</t>
  </si>
  <si>
    <t>Install economizer controls</t>
  </si>
  <si>
    <t xml:space="preserve">Replace fan controller </t>
  </si>
  <si>
    <t>Install wireless HVAC controls</t>
  </si>
  <si>
    <t>Install seasonal control switch</t>
  </si>
  <si>
    <t>Upgrade HVAC unit controls</t>
  </si>
  <si>
    <t>Testing, adjusting, and balancing of ventilation / air distribution system</t>
  </si>
  <si>
    <t>Clean duct, vent, grill, coil, or valve in air distribution system</t>
  </si>
  <si>
    <t>Repair fan belt, pulley, or bearings</t>
  </si>
  <si>
    <t>Replace air filter</t>
  </si>
  <si>
    <t>Clean and repair air filters</t>
  </si>
  <si>
    <t>Repair AHU</t>
  </si>
  <si>
    <t>Repair AHU controls</t>
  </si>
  <si>
    <t>Repair HV unit</t>
  </si>
  <si>
    <t>Repair outside air damper and/or actuator</t>
  </si>
  <si>
    <t>Repair RTU</t>
  </si>
  <si>
    <t>Repair flexible connection</t>
  </si>
  <si>
    <t>Repair or clean fan</t>
  </si>
  <si>
    <t>Repair convector</t>
  </si>
  <si>
    <t>Repair zone distribution components</t>
  </si>
  <si>
    <t>Repair or restore HV unit controls</t>
  </si>
  <si>
    <t>Repair or clean fire damper</t>
  </si>
  <si>
    <t>Replace failed HVAC sensors</t>
  </si>
  <si>
    <t>Convert dual duct, constant volume, or multi zone system to VAV system</t>
  </si>
  <si>
    <t>Replace heating and/or cooling with air to air heat pump</t>
  </si>
  <si>
    <t>Install split unit</t>
  </si>
  <si>
    <t>Install demand control for kitchen exhaust hood</t>
  </si>
  <si>
    <t>Install demand control with Cox/NOx/SOx or occupancy sensor</t>
  </si>
  <si>
    <t>Install passive solar heating technologies</t>
  </si>
  <si>
    <t>Install solar ventilation preheating system</t>
  </si>
  <si>
    <t>Install thermal destratification fan</t>
  </si>
  <si>
    <t>Replace heating and/or cooling with air to water or water to water heat pump</t>
  </si>
  <si>
    <t>Install control for window or through-wall air conditioning units</t>
  </si>
  <si>
    <t>Recover, recharge, or convert refrigerant</t>
  </si>
  <si>
    <t>Replace window or through wall air conditioner with higher efficiency unit</t>
  </si>
  <si>
    <t>Optimize control for window or through-wall air conditioning units</t>
  </si>
  <si>
    <t>Provide refrigerant additive</t>
  </si>
  <si>
    <t>Remove unused damper or guide vane</t>
  </si>
  <si>
    <t>Replace radiator, fan coil, convector, or heating unit</t>
  </si>
  <si>
    <t>Install coil filters</t>
  </si>
  <si>
    <t>Implement HVAC coil coating</t>
  </si>
  <si>
    <t>Install air curtain</t>
  </si>
  <si>
    <t>Replace burner in furnace</t>
  </si>
  <si>
    <t>Replace furnace</t>
  </si>
  <si>
    <t>Isolate steam coil on supply fans</t>
  </si>
  <si>
    <t>Install coil bypass duct, damper, and control for shoulder season operation</t>
  </si>
  <si>
    <t>Install control for night purge cycle</t>
  </si>
  <si>
    <t>Install control for static pressure</t>
  </si>
  <si>
    <t>Install control for ventilation supply or exhaust fan</t>
  </si>
  <si>
    <t>Install dedicated outdoor air system</t>
  </si>
  <si>
    <t>Install high efficiency air filter</t>
  </si>
  <si>
    <t>Install high plume dilution (Strobic) exhaust fan for process exhaust</t>
  </si>
  <si>
    <t>Install or replace outside air damper control and actuator</t>
  </si>
  <si>
    <t>Install control to open windows when outdoor conditions allow; interlock w/ HVAC</t>
  </si>
  <si>
    <t>Install separate supply ducts to hot deck and cold deck</t>
  </si>
  <si>
    <t>Adjust ventilation rate</t>
  </si>
  <si>
    <t>Replace VAV box</t>
  </si>
  <si>
    <t>Upgrade or decommission laboratory fume hood</t>
  </si>
  <si>
    <t>Install spill duct</t>
  </si>
  <si>
    <t>Restablish use of heating ventilators</t>
  </si>
  <si>
    <t>Reshape and/or patch ductwork</t>
  </si>
  <si>
    <t>Replace flexible connection</t>
  </si>
  <si>
    <t>Restore operation of mechanical ventilation equipment</t>
  </si>
  <si>
    <t>Replace heating and ventilation unit</t>
  </si>
  <si>
    <t>Replace fan</t>
  </si>
  <si>
    <t>Repair refrigerant leak</t>
  </si>
  <si>
    <t>Seal duct</t>
  </si>
  <si>
    <t>Replace damper and/or actuator for HVAC system</t>
  </si>
  <si>
    <t>Install ground source heat pump</t>
  </si>
  <si>
    <t>Replace air handling unit heating or cooling coil</t>
  </si>
  <si>
    <t>Replace air handling unit with higher efficiency air handling unit</t>
  </si>
  <si>
    <t xml:space="preserve">Replace existing belt drive with synchronous belt drive </t>
  </si>
  <si>
    <t>Replace V-Belts</t>
  </si>
  <si>
    <t>Replace fan belts / bearings</t>
  </si>
  <si>
    <t>Replace air handling unit fan</t>
  </si>
  <si>
    <t>Convert air cooled package unit to water cooled package unit with cooling tower</t>
  </si>
  <si>
    <t>Replace RTU, PTAC, or DX unit with higher efficiency packaged unit</t>
  </si>
  <si>
    <t>Replace or repair air compressor and components</t>
  </si>
  <si>
    <t>Install air dryer with compressor system</t>
  </si>
  <si>
    <t>Calibrate, relocate, or repair differential pressure sensor</t>
  </si>
  <si>
    <t>Close outside air dampers during start-up</t>
  </si>
  <si>
    <t xml:space="preserve">Implement correct minimum outside air damper position </t>
  </si>
  <si>
    <t>Implement occupancy scheduling for fans</t>
  </si>
  <si>
    <t>Incorporate optimal start/stop strategy</t>
  </si>
  <si>
    <t>Optimize hot deck / cold deck air handler controls</t>
  </si>
  <si>
    <t>Reoptimize supply air temperature reset</t>
  </si>
  <si>
    <t>Repair VFD control loops for pumps and fans</t>
  </si>
  <si>
    <t>Verify and optimize sequence of operation</t>
  </si>
  <si>
    <t>Implement filter maintenance protocol</t>
  </si>
  <si>
    <t>Restore outside air damper controls</t>
  </si>
  <si>
    <t>Enable economizer control</t>
  </si>
  <si>
    <t>Implement supply air temperature reset</t>
  </si>
  <si>
    <t>Implement variable air control for VAV systems</t>
  </si>
  <si>
    <t>Implement/optimize HVAC schedule on existing system</t>
  </si>
  <si>
    <t>Implement RTU maintenance program</t>
  </si>
  <si>
    <t>Implement proper maintenance procedure for machine bearings</t>
  </si>
  <si>
    <t>Implement air leak maintenance program</t>
  </si>
  <si>
    <t>Implement fan belt maintenance program</t>
  </si>
  <si>
    <t>Insulate HV unit</t>
  </si>
  <si>
    <t>Install variable refrigerant flow system</t>
  </si>
  <si>
    <t>HVAC improvements</t>
  </si>
  <si>
    <t>Optimize components of existing roof top unit(s) for energy efficiency</t>
  </si>
  <si>
    <t>Implement chemical treatment for various HVAC systems (non-boiler)</t>
  </si>
  <si>
    <t>Install software to control desktop computer power except critical applications</t>
  </si>
  <si>
    <t>Install plug load controls for convenience receptacles</t>
  </si>
  <si>
    <t>Install vending miser technology</t>
  </si>
  <si>
    <t>Replace appliances and computers with Energy Star models</t>
  </si>
  <si>
    <t>Replace refrigeration unit with higher efficiency refrigeration unit</t>
  </si>
  <si>
    <t>Install controls for refrigeration system</t>
  </si>
  <si>
    <t>Calibrate, relocate, or repair SHW temperature sensor</t>
  </si>
  <si>
    <t>Repair service hot water components</t>
  </si>
  <si>
    <t>Clean filtration water loop</t>
  </si>
  <si>
    <t>Decrease SHW temperature</t>
  </si>
  <si>
    <t>Install swimming pool cover to reduce vaporization</t>
  </si>
  <si>
    <t>Replace SHW mixing valve or circulating pump</t>
  </si>
  <si>
    <t>Install heat pump water heater</t>
  </si>
  <si>
    <t>Install control for service hot water heater</t>
  </si>
  <si>
    <t>Install solar thermal water heating for service hot water</t>
  </si>
  <si>
    <t>Install solar thermal water heating for swimming pool</t>
  </si>
  <si>
    <t>Replace storage water heater with tankless electric water heater</t>
  </si>
  <si>
    <t>Replace storage water heater with tankless gas water heater</t>
  </si>
  <si>
    <t>Install water pressure booster</t>
  </si>
  <si>
    <t>Insulate service hot water piping</t>
  </si>
  <si>
    <t>Replace or install water heater tank insulation</t>
  </si>
  <si>
    <t>Replace service hot water piping</t>
  </si>
  <si>
    <t>Replace coil for tankless water heater</t>
  </si>
  <si>
    <t>Install separate service hot water heater</t>
  </si>
  <si>
    <t>Replace storage water heater with higher efficiency storage water heater</t>
  </si>
  <si>
    <t>Optimize domestic water pump</t>
  </si>
  <si>
    <t>Adjust domestic hot water temperatures</t>
  </si>
  <si>
    <t>Use service hot water heater year-round</t>
  </si>
  <si>
    <t>Restore automatic operation of domestic water components</t>
  </si>
  <si>
    <t>Adjust pool water temperature</t>
  </si>
  <si>
    <t>Optimize service hot water heater opertation</t>
  </si>
  <si>
    <t>Install gas fired SHW system</t>
  </si>
  <si>
    <t>Implement water efficient irrigation</t>
  </si>
  <si>
    <t>Install aerator for lavatory faucet or shower head</t>
  </si>
  <si>
    <t>Install motion activated lavatory faucet</t>
  </si>
  <si>
    <t>Install dual mode flushometer</t>
  </si>
  <si>
    <t>Install motion activated flushometer</t>
  </si>
  <si>
    <t>Install self closing shower valves</t>
  </si>
  <si>
    <t>Install pre-rinse valve</t>
  </si>
  <si>
    <t>Repair leak in plumbing equipment</t>
  </si>
  <si>
    <t>Perform a water audit</t>
  </si>
  <si>
    <t>Modified DCAS Measures List</t>
  </si>
  <si>
    <t>03 Building Automation Systems</t>
  </si>
  <si>
    <t>05 Chilled Water Hot Water And Steam Distribution Systems</t>
  </si>
  <si>
    <t>06 Chiller Plant</t>
  </si>
  <si>
    <t>07 Conveyance Systems</t>
  </si>
  <si>
    <t>08 Data Center</t>
  </si>
  <si>
    <t>09 Distributed Generation</t>
  </si>
  <si>
    <t>10 Electrical Peak Shaving Load Shifting</t>
  </si>
  <si>
    <t>11 Energy Distribution Systems</t>
  </si>
  <si>
    <t>12 Lighting</t>
  </si>
  <si>
    <t>13 Other Electric Motors And Drives</t>
  </si>
  <si>
    <t>15 Plug Loads</t>
  </si>
  <si>
    <t>16 Refrigeration</t>
  </si>
  <si>
    <t>18 Service Hot Water Systems</t>
  </si>
  <si>
    <t>20 Water And Sewer Conservation Systems</t>
  </si>
  <si>
    <t>19 Uncategorized</t>
  </si>
  <si>
    <t>Install solar photovoltaic system</t>
  </si>
  <si>
    <t>Install solar thermal system</t>
  </si>
  <si>
    <t>Install ground source heat pumps</t>
  </si>
  <si>
    <t>Install anaerobic digester gas (ADG)</t>
  </si>
  <si>
    <t>Install air source heat pumps</t>
  </si>
  <si>
    <t>Install energy storage</t>
  </si>
  <si>
    <t>Renewable energy systems</t>
  </si>
  <si>
    <t>Building locations</t>
  </si>
  <si>
    <t>Units</t>
  </si>
  <si>
    <t>ft</t>
  </si>
  <si>
    <t>units</t>
  </si>
  <si>
    <r>
      <t>ft</t>
    </r>
    <r>
      <rPr>
        <vertAlign val="superscript"/>
        <sz val="11"/>
        <color theme="1"/>
        <rFont val="Calibri"/>
        <family val="2"/>
        <scheme val="minor"/>
      </rPr>
      <t>2</t>
    </r>
  </si>
  <si>
    <t>Common areas</t>
  </si>
  <si>
    <t>Front yard</t>
  </si>
  <si>
    <t>Rear yard</t>
  </si>
  <si>
    <t>Façade</t>
  </si>
  <si>
    <t>Roof</t>
  </si>
  <si>
    <t>gal</t>
  </si>
  <si>
    <t>Mlbs</t>
  </si>
  <si>
    <t>Therms</t>
  </si>
  <si>
    <t>kWh</t>
  </si>
  <si>
    <t>years</t>
  </si>
  <si>
    <t>Totals</t>
  </si>
  <si>
    <t>2024 - 2029</t>
  </si>
  <si>
    <t>2030 - 2034</t>
  </si>
  <si>
    <t>$</t>
  </si>
  <si>
    <t>kbtu</t>
  </si>
  <si>
    <t>tCO2e</t>
  </si>
  <si>
    <t>tCO2e/sf</t>
  </si>
  <si>
    <t>Quantity</t>
  </si>
  <si>
    <t>File name</t>
  </si>
  <si>
    <t>$/unit</t>
  </si>
  <si>
    <t>Conversion Factors</t>
  </si>
  <si>
    <t>therms</t>
  </si>
  <si>
    <t>gallons of #2</t>
  </si>
  <si>
    <t>gallons of #4</t>
  </si>
  <si>
    <t>Mlbs of steam</t>
  </si>
  <si>
    <t>Measure number, name, or description</t>
  </si>
  <si>
    <t>Specify size or capacity of measure or system</t>
  </si>
  <si>
    <t>Specify unit</t>
  </si>
  <si>
    <t>Whole Building</t>
  </si>
  <si>
    <t>In-unit</t>
  </si>
  <si>
    <t>metric tons of CO2e</t>
  </si>
  <si>
    <t>metric tons of CO2e/sf</t>
  </si>
  <si>
    <t>Street Address:</t>
  </si>
  <si>
    <t>City:</t>
  </si>
  <si>
    <t>State:</t>
  </si>
  <si>
    <t>Subject Property</t>
  </si>
  <si>
    <t>Before Project (Baseline)</t>
  </si>
  <si>
    <t>After Project</t>
  </si>
  <si>
    <t>Savings</t>
  </si>
  <si>
    <t>Electricity (kWh)</t>
  </si>
  <si>
    <t>% Savings Over Baseline</t>
  </si>
  <si>
    <t>14 HVAC</t>
  </si>
  <si>
    <t>Install water-source heat pumps</t>
  </si>
  <si>
    <t>$/year</t>
  </si>
  <si>
    <t>Please fill out all applicable fields as indicated (white). Grey cells are locked.</t>
  </si>
  <si>
    <t>Construction Scope Measure</t>
  </si>
  <si>
    <t>Measure Type</t>
  </si>
  <si>
    <t>Location in Building</t>
  </si>
  <si>
    <t>Unit of Capacity</t>
  </si>
  <si>
    <t>Reference to Feasibility Study</t>
  </si>
  <si>
    <t>Unit of Measure</t>
  </si>
  <si>
    <t>Unit Cost</t>
  </si>
  <si>
    <t>Total Cost</t>
  </si>
  <si>
    <t>#2 Fuel Oil</t>
  </si>
  <si>
    <t>#4 Fuel Oil</t>
  </si>
  <si>
    <t>Annual Consumption</t>
  </si>
  <si>
    <t>Utility Blended Rate</t>
  </si>
  <si>
    <t>LL97 Emissions Coefficient</t>
  </si>
  <si>
    <t>Annual Emissions</t>
  </si>
  <si>
    <t>Fuel Type</t>
  </si>
  <si>
    <t>Simple Payback Period</t>
  </si>
  <si>
    <t>Total Projected Energy Savings</t>
  </si>
  <si>
    <t>Projected Energy Cost Savings</t>
  </si>
  <si>
    <t>Other Savings Documentation</t>
  </si>
  <si>
    <t>District Steam</t>
  </si>
  <si>
    <t>2024-2029 Projected Emissions Savings</t>
  </si>
  <si>
    <t>Total Savings</t>
  </si>
  <si>
    <t>Natural Gas</t>
  </si>
  <si>
    <t>Reference to measure in Energy Audit</t>
  </si>
  <si>
    <t>Compliance Period</t>
  </si>
  <si>
    <t>Annual Emissions Intensity Limit</t>
  </si>
  <si>
    <t>Annual Building Emissions Limit</t>
  </si>
  <si>
    <t>Square Feet (sf)</t>
  </si>
  <si>
    <t>Penalty Rate for Emissions Greater than Limit</t>
  </si>
  <si>
    <t>Building Emissions Limit</t>
  </si>
  <si>
    <t>Existing Annual Building Emissions Intensity</t>
  </si>
  <si>
    <t>Existing Annual Building Emissions</t>
  </si>
  <si>
    <t>Natural Gas (therms)</t>
  </si>
  <si>
    <t>District Steam (Mlbs)</t>
  </si>
  <si>
    <t>Total Energy (kBtu)</t>
  </si>
  <si>
    <t>Total Energy Cost</t>
  </si>
  <si>
    <t>#2 Fuel Oil (gallons)</t>
  </si>
  <si>
    <t>#4 Fuel Oil (gallons)</t>
  </si>
  <si>
    <t>Projected Annual Savings (energy cost savings and additional financial benefits)</t>
  </si>
  <si>
    <t>Projected Savings Summary after C-PACE Funded Project</t>
  </si>
  <si>
    <t>Summary of Financial Savings Associated with Proposed C-PACE Funded Project</t>
  </si>
  <si>
    <t>Total Eligible C-PACE Costs</t>
  </si>
  <si>
    <t>Construction Scope Measure Type</t>
  </si>
  <si>
    <r>
      <t xml:space="preserve">Annual Projected Savings
</t>
    </r>
    <r>
      <rPr>
        <i/>
        <sz val="11"/>
        <color theme="1"/>
        <rFont val="Calibri"/>
        <family val="2"/>
        <scheme val="minor"/>
      </rPr>
      <t>Note: renewable energy systems’ electric or thermal generation should  be included as savings</t>
    </r>
  </si>
  <si>
    <r>
      <t>BBL (XX-XXXXX-XXXX)</t>
    </r>
    <r>
      <rPr>
        <vertAlign val="superscript"/>
        <sz val="11"/>
        <rFont val="Calibri"/>
        <family val="2"/>
        <scheme val="minor"/>
      </rPr>
      <t>1</t>
    </r>
    <r>
      <rPr>
        <sz val="11"/>
        <rFont val="Calibri"/>
        <family val="2"/>
        <scheme val="minor"/>
      </rPr>
      <t>:</t>
    </r>
  </si>
  <si>
    <t>https://accelerator.nyc/resources/finance/PACE</t>
  </si>
  <si>
    <t>https://zola.planning.nyc.gov/</t>
  </si>
  <si>
    <t xml:space="preserve">https://www1.nyc.gov/assets/buildings/local_laws/ll97of2019.pdf </t>
  </si>
  <si>
    <t>Summary of Project Costs Associated with Proposed C-PACE Funded Project</t>
  </si>
  <si>
    <t>Please fill out all applicable fields as indicated (white). Grey cells are locked when feasible and should not be edited.</t>
  </si>
  <si>
    <t>-</t>
  </si>
  <si>
    <t>Conversion to Btu</t>
  </si>
  <si>
    <t/>
  </si>
  <si>
    <t>Estimated Construction Completion Year</t>
  </si>
  <si>
    <t xml:space="preserve">Estimated Annual Energy Cost ($) </t>
  </si>
  <si>
    <t xml:space="preserve">Estimated Annual Energy Consumption </t>
  </si>
  <si>
    <t xml:space="preserve">Additional Financial Benefits Quantified </t>
  </si>
  <si>
    <t>NYC Local Law 97 Implications</t>
  </si>
  <si>
    <r>
      <t>Total Eligible C-PACE Costs</t>
    </r>
    <r>
      <rPr>
        <vertAlign val="superscript"/>
        <sz val="11"/>
        <rFont val="Calibri"/>
        <family val="2"/>
        <scheme val="minor"/>
      </rPr>
      <t>2</t>
    </r>
  </si>
  <si>
    <t>Summary Table for Truth In PACE Lending Acknowledgment (TIPLA) Form</t>
  </si>
  <si>
    <t>ESTIMATED ENERGY AND COST SAVINGS</t>
  </si>
  <si>
    <t>Est. Annual Energy Consumption (kBtu)</t>
  </si>
  <si>
    <t>Est. Annual Energy Cost ($)</t>
  </si>
  <si>
    <t>Projected Financial Savings</t>
  </si>
  <si>
    <t>$ Savings</t>
  </si>
  <si>
    <r>
      <t>ESPM Property Type</t>
    </r>
    <r>
      <rPr>
        <b/>
        <vertAlign val="superscript"/>
        <sz val="11"/>
        <color theme="1"/>
        <rFont val="Calibri"/>
        <family val="2"/>
        <scheme val="minor"/>
      </rPr>
      <t>3</t>
    </r>
  </si>
  <si>
    <t xml:space="preserve">Adult Education </t>
  </si>
  <si>
    <t xml:space="preserve">Ambulatory Surgical Center </t>
  </si>
  <si>
    <t xml:space="preserve">Automobile Dealership </t>
  </si>
  <si>
    <t xml:space="preserve">Bank Branch </t>
  </si>
  <si>
    <t xml:space="preserve">Bowling Alley </t>
  </si>
  <si>
    <t xml:space="preserve">College/University </t>
  </si>
  <si>
    <t xml:space="preserve">Convenience Store without Gas Station </t>
  </si>
  <si>
    <t xml:space="preserve">Courthouse </t>
  </si>
  <si>
    <t xml:space="preserve">Data Center </t>
  </si>
  <si>
    <t xml:space="preserve">Distribution Center </t>
  </si>
  <si>
    <t xml:space="preserve">Enclosed Mall </t>
  </si>
  <si>
    <t xml:space="preserve">Financial Office </t>
  </si>
  <si>
    <t xml:space="preserve">Fitness Center/Health Club/Gym </t>
  </si>
  <si>
    <t xml:space="preserve">Food Sales </t>
  </si>
  <si>
    <t xml:space="preserve">Food Service </t>
  </si>
  <si>
    <t xml:space="preserve">Hospital (General Medical &amp; Surgical) </t>
  </si>
  <si>
    <t xml:space="preserve">Hotel </t>
  </si>
  <si>
    <t xml:space="preserve">K-12 School </t>
  </si>
  <si>
    <t xml:space="preserve">Laboratory </t>
  </si>
  <si>
    <t xml:space="preserve">Library </t>
  </si>
  <si>
    <t xml:space="preserve">Lifestyle Center </t>
  </si>
  <si>
    <t xml:space="preserve">Mailing Center/Post Office </t>
  </si>
  <si>
    <t xml:space="preserve">Manufacturing/Industrial Plant </t>
  </si>
  <si>
    <t xml:space="preserve">Medical Office </t>
  </si>
  <si>
    <t xml:space="preserve">Movie Theater </t>
  </si>
  <si>
    <t xml:space="preserve">Multifamily Housing </t>
  </si>
  <si>
    <t xml:space="preserve">Museum </t>
  </si>
  <si>
    <t xml:space="preserve">Non-Refrigerated Warehouse </t>
  </si>
  <si>
    <t xml:space="preserve">Office </t>
  </si>
  <si>
    <t xml:space="preserve">Other - Education </t>
  </si>
  <si>
    <t xml:space="preserve">Other - Entertainment/Public Assembly </t>
  </si>
  <si>
    <t xml:space="preserve">Other - Lodging/Residential </t>
  </si>
  <si>
    <t xml:space="preserve">Other - Mall </t>
  </si>
  <si>
    <t xml:space="preserve">Other - Public Services </t>
  </si>
  <si>
    <t xml:space="preserve">Other - Recreation </t>
  </si>
  <si>
    <t xml:space="preserve">Other - Restaurant/Bar </t>
  </si>
  <si>
    <t xml:space="preserve">Other - Services </t>
  </si>
  <si>
    <t xml:space="preserve">Other - Specialty Hospital </t>
  </si>
  <si>
    <t xml:space="preserve">Other - Technology/Science </t>
  </si>
  <si>
    <t xml:space="preserve">Outpatient Rehabilitation/Physical Therapy </t>
  </si>
  <si>
    <t xml:space="preserve">Parking </t>
  </si>
  <si>
    <t xml:space="preserve">Performing Arts </t>
  </si>
  <si>
    <t xml:space="preserve">Personal Services (Health/Beauty, Dry Cleaning, etc.) </t>
  </si>
  <si>
    <t xml:space="preserve">Pre-school/Daycare </t>
  </si>
  <si>
    <t xml:space="preserve">Refrigerated Warehouse </t>
  </si>
  <si>
    <t xml:space="preserve">Repair Services (Vehicle, Shoe, Locksmith, etc.) </t>
  </si>
  <si>
    <t xml:space="preserve">Residence Hall/Dormitory </t>
  </si>
  <si>
    <t xml:space="preserve">Residential Care Facility </t>
  </si>
  <si>
    <t xml:space="preserve">Restaurant </t>
  </si>
  <si>
    <t xml:space="preserve">Retail Store </t>
  </si>
  <si>
    <t xml:space="preserve">Self-Storage Facility </t>
  </si>
  <si>
    <t xml:space="preserve">Senior Care Community </t>
  </si>
  <si>
    <t xml:space="preserve">Social/Meeting Hall </t>
  </si>
  <si>
    <t xml:space="preserve">Strip Mall </t>
  </si>
  <si>
    <t xml:space="preserve">Supermarket/Grocery Store </t>
  </si>
  <si>
    <t xml:space="preserve">Transportation Terminal/Station </t>
  </si>
  <si>
    <t xml:space="preserve">Urgent Care/Clinic/Other Outpatient </t>
  </si>
  <si>
    <t xml:space="preserve">Vocational School </t>
  </si>
  <si>
    <t xml:space="preserve">Wholesale Club/Supercenter </t>
  </si>
  <si>
    <t xml:space="preserve">Worship Facility </t>
  </si>
  <si>
    <t>2035-2039</t>
  </si>
  <si>
    <t>2040 - 2049</t>
  </si>
  <si>
    <r>
      <t>Calculation of Local Law 97 Building Emissions Limits</t>
    </r>
    <r>
      <rPr>
        <b/>
        <vertAlign val="superscript"/>
        <sz val="11"/>
        <color theme="1"/>
        <rFont val="Calibri"/>
        <family val="2"/>
        <scheme val="minor"/>
      </rPr>
      <t>1,2</t>
    </r>
  </si>
  <si>
    <t>Existing Building - Amount in Excess of Limit</t>
  </si>
  <si>
    <t>Existing Building - Projected Annual Penalty</t>
  </si>
  <si>
    <r>
      <t>2035-2039</t>
    </r>
    <r>
      <rPr>
        <b/>
        <vertAlign val="superscript"/>
        <sz val="11"/>
        <color theme="1"/>
        <rFont val="Calibri"/>
        <family val="2"/>
        <scheme val="minor"/>
      </rPr>
      <t>1</t>
    </r>
  </si>
  <si>
    <r>
      <t>Local Law 97 - Summary of Projected Penalty Amounts and Savings</t>
    </r>
    <r>
      <rPr>
        <b/>
        <vertAlign val="superscript"/>
        <sz val="11"/>
        <color theme="1"/>
        <rFont val="Calibri"/>
        <family val="2"/>
        <scheme val="minor"/>
      </rPr>
      <t>1</t>
    </r>
  </si>
  <si>
    <t>2030-2034 Projected Emissions Savings</t>
  </si>
  <si>
    <t>2035-2039 Projected Emissions Savings</t>
  </si>
  <si>
    <t>2040-2049 Projected Emissions Savings</t>
  </si>
  <si>
    <r>
      <t>Other Annual Savings</t>
    </r>
    <r>
      <rPr>
        <b/>
        <vertAlign val="superscript"/>
        <sz val="11"/>
        <color theme="1"/>
        <rFont val="Calibri"/>
        <family val="2"/>
        <scheme val="minor"/>
      </rPr>
      <t>2</t>
    </r>
  </si>
  <si>
    <t>https://www.energystar.gov/buildings/benchmark/understand_metrics/property_types</t>
  </si>
  <si>
    <t>Updated Building - Amount in Excess of Limit</t>
  </si>
  <si>
    <t>Updated Building Annual Building Emissions</t>
  </si>
  <si>
    <r>
      <rPr>
        <b/>
        <vertAlign val="superscript"/>
        <sz val="11"/>
        <color theme="1"/>
        <rFont val="Calibri"/>
        <family val="2"/>
        <scheme val="minor"/>
      </rPr>
      <t>3</t>
    </r>
    <r>
      <rPr>
        <b/>
        <sz val="11"/>
        <color theme="1"/>
        <rFont val="Calibri"/>
        <family val="2"/>
        <scheme val="minor"/>
      </rPr>
      <t xml:space="preserve"> C-PACE ADMIN:</t>
    </r>
    <r>
      <rPr>
        <sz val="11"/>
        <color theme="1"/>
        <rFont val="Calibri"/>
        <family val="2"/>
        <scheme val="minor"/>
      </rPr>
      <t xml:space="preserve"> Energy Star Portfolio Manager property types:</t>
    </r>
  </si>
  <si>
    <r>
      <rPr>
        <b/>
        <vertAlign val="superscript"/>
        <sz val="11"/>
        <rFont val="Calibri"/>
        <family val="2"/>
        <scheme val="minor"/>
      </rPr>
      <t xml:space="preserve">2 </t>
    </r>
    <r>
      <rPr>
        <b/>
        <sz val="11"/>
        <rFont val="Calibri"/>
        <family val="2"/>
        <scheme val="minor"/>
      </rPr>
      <t>C-PACE ADMIN:</t>
    </r>
    <r>
      <rPr>
        <sz val="11"/>
        <rFont val="Calibri"/>
        <family val="2"/>
        <scheme val="minor"/>
      </rPr>
      <t xml:space="preserve"> Per LL97, the term “covered building” means, as it appears in the records of the department of finance, (i) a building that exceeds 25,000 gross square feet or (ii) two or more buildings on the same tax lot that together exceed 50,000 gross square feet (9290 m</t>
    </r>
    <r>
      <rPr>
        <vertAlign val="superscript"/>
        <sz val="11"/>
        <rFont val="Calibri"/>
        <family val="2"/>
        <scheme val="minor"/>
      </rPr>
      <t>2</t>
    </r>
    <r>
      <rPr>
        <sz val="11"/>
        <rFont val="Calibri"/>
        <family val="2"/>
        <scheme val="minor"/>
      </rPr>
      <t>), or (iii) two or more buildings held in the condominium form of ownership that are governed by the same board of managers and that together exceed 50,000 gross square feet (9290 m</t>
    </r>
    <r>
      <rPr>
        <vertAlign val="superscript"/>
        <sz val="11"/>
        <rFont val="Calibri"/>
        <family val="2"/>
        <scheme val="minor"/>
      </rPr>
      <t>2</t>
    </r>
    <r>
      <rPr>
        <sz val="11"/>
        <rFont val="Calibri"/>
        <family val="2"/>
        <scheme val="minor"/>
      </rPr>
      <t>)</t>
    </r>
  </si>
  <si>
    <t>Projected Annual Penalty 2024 - 2029</t>
  </si>
  <si>
    <t>Projected Annual Penalty 2030 - 2034</t>
  </si>
  <si>
    <r>
      <t>Projected Annual Penalty 2035-2039</t>
    </r>
    <r>
      <rPr>
        <vertAlign val="superscript"/>
        <sz val="11"/>
        <rFont val="Calibri"/>
        <family val="2"/>
        <scheme val="minor"/>
      </rPr>
      <t>3</t>
    </r>
  </si>
  <si>
    <t>Projected Annual Penalty 2040 - 2049</t>
  </si>
  <si>
    <t>Annual Savings</t>
  </si>
  <si>
    <t>Projected Annual Savings 2024-2029 (including avoided fines under LL97)</t>
  </si>
  <si>
    <t>Projected Annual Savings 2030-2034 (including avoided fines under LL97)</t>
  </si>
  <si>
    <t>Projected Annual Savings 2035-2039 (including avoided fines under LL97)</t>
  </si>
  <si>
    <t>Projected Annual Savings 2040-2049 (including avoided fines under LL97)</t>
  </si>
  <si>
    <t>Projected Annual Savings 2030-2034 (also including avoided fines under LL97)</t>
  </si>
  <si>
    <t>Projected Annual Savings 2035-2039 (also including avoided fines under LL97)</t>
  </si>
  <si>
    <t>Projected Annual Savings 2040-2049 (also including avoided fines under LL97)</t>
  </si>
  <si>
    <t>Baseline</t>
  </si>
  <si>
    <t>yes/no</t>
  </si>
  <si>
    <t>Yes</t>
  </si>
  <si>
    <t>No</t>
  </si>
  <si>
    <t>Updated Building - Projected Annual Penalty (incl. savings from prequal. measures)</t>
  </si>
  <si>
    <t>Zip Code:</t>
  </si>
  <si>
    <t>All cells are locked.</t>
  </si>
  <si>
    <r>
      <t>Projected Annual Savings 2024-2029 (also including avoided fines under LL97)</t>
    </r>
    <r>
      <rPr>
        <vertAlign val="superscript"/>
        <sz val="11"/>
        <color theme="1"/>
        <rFont val="Calibri"/>
        <family val="2"/>
        <scheme val="minor"/>
      </rPr>
      <t>1</t>
    </r>
  </si>
  <si>
    <r>
      <t>Please fill out all applicable fields as indicated (white).</t>
    </r>
    <r>
      <rPr>
        <i/>
        <vertAlign val="superscript"/>
        <sz val="11"/>
        <rFont val="Calibri"/>
        <family val="2"/>
        <scheme val="minor"/>
      </rPr>
      <t>1</t>
    </r>
    <r>
      <rPr>
        <i/>
        <sz val="11"/>
        <rFont val="Calibri"/>
        <family val="2"/>
        <scheme val="minor"/>
      </rPr>
      <t xml:space="preserve"> Grey cells are locked when feasible and should not be edited.</t>
    </r>
  </si>
  <si>
    <t>Total Capacity</t>
  </si>
  <si>
    <t>Number for cost per unit formula</t>
  </si>
  <si>
    <t>Assigned Measure Description</t>
  </si>
  <si>
    <r>
      <t>2040 - 2049</t>
    </r>
    <r>
      <rPr>
        <b/>
        <vertAlign val="superscript"/>
        <sz val="11"/>
        <color theme="1"/>
        <rFont val="Calibri"/>
        <family val="2"/>
        <scheme val="minor"/>
      </rPr>
      <t>1</t>
    </r>
  </si>
  <si>
    <t>tCO2e/kWh or /kbtu</t>
  </si>
  <si>
    <t>Please fill out applicable fields in Column L as indicated (white). Grey cells are locked.</t>
  </si>
  <si>
    <r>
      <t xml:space="preserve">Is this building(s) exempted from Local Law 97 compliance or subject to an alternative compliance pathway? (Y/N) </t>
    </r>
    <r>
      <rPr>
        <b/>
        <vertAlign val="superscript"/>
        <sz val="11"/>
        <color theme="1"/>
        <rFont val="Calibri"/>
        <family val="2"/>
        <scheme val="minor"/>
      </rPr>
      <t>2</t>
    </r>
  </si>
  <si>
    <t>Basement/Cellar</t>
  </si>
  <si>
    <r>
      <rPr>
        <b/>
        <vertAlign val="superscript"/>
        <sz val="11"/>
        <color theme="1"/>
        <rFont val="Calibri"/>
        <family val="2"/>
        <scheme val="minor"/>
      </rPr>
      <t xml:space="preserve">1 </t>
    </r>
    <r>
      <rPr>
        <b/>
        <sz val="11"/>
        <color theme="1"/>
        <rFont val="Calibri"/>
        <family val="2"/>
        <scheme val="minor"/>
      </rPr>
      <t>C-PACE ADMIN:</t>
    </r>
    <r>
      <rPr>
        <sz val="11"/>
        <color theme="1"/>
        <rFont val="Calibri"/>
        <family val="2"/>
        <scheme val="minor"/>
      </rPr>
      <t xml:space="preserve"> Projected penalties are calculated based on the final rule published by the City on 12/20/22. However, emissions coefficients past the 2030-2034 compliance period will be determined by The City at a later date. Penalties for 2035 and beyond are estimated based on coefficient values the City has already published for the prior compliance period and are highly variable and likely to change. </t>
    </r>
  </si>
  <si>
    <t>Is the building is designed so that it meets the NYC Low Carbon Building standard?</t>
  </si>
  <si>
    <t>$/metric tons of CO2e</t>
  </si>
  <si>
    <t>Annual Projected LL97 Penalties Avoided</t>
  </si>
  <si>
    <t>New Construction Maximum Loan Term (yrs)</t>
  </si>
  <si>
    <t>Renewable Energy System - Prequalified for New Construction</t>
  </si>
  <si>
    <t>Upgrade building's electrical service or capacity</t>
  </si>
  <si>
    <t>Total Project Costs</t>
  </si>
  <si>
    <t>Percentage of C-PACE costs to Total Project Costs</t>
  </si>
  <si>
    <t>Total Project Cost</t>
  </si>
  <si>
    <t>Install wind system</t>
  </si>
  <si>
    <t>04 Building Enclosure</t>
  </si>
  <si>
    <t>01 HVAC Systems</t>
  </si>
  <si>
    <t>Ground-source heat pumps</t>
  </si>
  <si>
    <t>Air-source heat pumps</t>
  </si>
  <si>
    <t>Water-source heat pumps with central boiler</t>
  </si>
  <si>
    <t>Water-source heat pumps with central heat pumps</t>
  </si>
  <si>
    <t>02 Domestic Hot Water Systems</t>
  </si>
  <si>
    <t>Electric resistance heating and direct expansion (DX) cooling</t>
  </si>
  <si>
    <t>Boiler with direct expansion (DX) cooling</t>
  </si>
  <si>
    <t xml:space="preserve">Electric resistance </t>
  </si>
  <si>
    <t>Heat pump</t>
  </si>
  <si>
    <t xml:space="preserve">Solar thermal </t>
  </si>
  <si>
    <t>Solar thermal heating with direct expansion (DX) cooling</t>
  </si>
  <si>
    <t>Chiller and/or cooling tower and boiler with heat pumps (California Loop)</t>
  </si>
  <si>
    <t xml:space="preserve">Central chiller and boiler hydronic system </t>
  </si>
  <si>
    <t>Improvement</t>
  </si>
  <si>
    <t>HVAC_Systems</t>
  </si>
  <si>
    <t>Domestic_Hot_Water_Systems</t>
  </si>
  <si>
    <t>Prequalified Low Carbon Building Measures for New Construction</t>
  </si>
  <si>
    <t>Electric service capacity required for all electric</t>
  </si>
  <si>
    <t>Building_Electric_Service_Upgrades</t>
  </si>
  <si>
    <t>All-electric back-up power</t>
  </si>
  <si>
    <t>Prequalified Renewable Energy System</t>
  </si>
  <si>
    <t>Prequalified Low Carbon Building System</t>
  </si>
  <si>
    <t>Describe as closely as possiblt to how it appears in the construction bid</t>
  </si>
  <si>
    <t>From tab 3</t>
  </si>
  <si>
    <t>C-PACE Measures % of Total Project Cost</t>
  </si>
  <si>
    <r>
      <t>Choose one
Guidance: When a measure is selected, required user-input fields will appear in white, while fields that are not required will appear in grey.  Note on Adders below</t>
    </r>
    <r>
      <rPr>
        <i/>
        <vertAlign val="superscript"/>
        <sz val="10"/>
        <color theme="1"/>
        <rFont val="Calibri"/>
        <family val="2"/>
        <scheme val="minor"/>
      </rPr>
      <t>4</t>
    </r>
  </si>
  <si>
    <t xml:space="preserve">Baseline (Code) Project </t>
  </si>
  <si>
    <t>Building_Enclosure</t>
  </si>
  <si>
    <t>Baseline building enclosure</t>
  </si>
  <si>
    <t>Better than code enclosure</t>
  </si>
  <si>
    <t>Proposed</t>
  </si>
  <si>
    <t>Proposed Usage</t>
  </si>
  <si>
    <t>Totals after Annual Projected Savings</t>
  </si>
  <si>
    <t>Include total whole-buildings savings and solar generation here regardless of individual measure savings listed below</t>
  </si>
  <si>
    <t>% Savings over Baseline</t>
  </si>
  <si>
    <t xml:space="preserve"> </t>
  </si>
  <si>
    <t>Design permit approval date or anticipated date:</t>
  </si>
  <si>
    <t>NYCECC Code Used for Baseline</t>
  </si>
  <si>
    <t>NYCECC Code Used for Baseline:</t>
  </si>
  <si>
    <t>Proposed Project</t>
  </si>
  <si>
    <t>Baseline Building</t>
  </si>
  <si>
    <t>Proposed Building (estimated, post-completion)</t>
  </si>
  <si>
    <t>Whole Building Energy Savings as Compared to Energy Code Baseline</t>
  </si>
  <si>
    <t>https://www.nyserda.ny.gov/All-Programs/Commercial-Property-Assessed-Clean-Energy-PACE-Financing-Resources</t>
  </si>
  <si>
    <t xml:space="preserve">Max Eligible C-PACE Loan % </t>
  </si>
  <si>
    <t>NYSERDA C-PACE landing page:</t>
  </si>
  <si>
    <t>NYC Acclerator C-PACE landing page:</t>
  </si>
  <si>
    <r>
      <t>Total Cost</t>
    </r>
    <r>
      <rPr>
        <b/>
        <vertAlign val="superscript"/>
        <sz val="11"/>
        <color theme="1"/>
        <rFont val="Calibri"/>
        <family val="2"/>
        <scheme val="minor"/>
      </rPr>
      <t xml:space="preserve"> 2, 3</t>
    </r>
  </si>
  <si>
    <r>
      <rPr>
        <b/>
        <vertAlign val="superscript"/>
        <sz val="11"/>
        <color theme="1"/>
        <rFont val="Calibri"/>
        <family val="2"/>
        <scheme val="minor"/>
      </rPr>
      <t>1</t>
    </r>
    <r>
      <rPr>
        <b/>
        <sz val="11"/>
        <color theme="1"/>
        <rFont val="Calibri"/>
        <family val="2"/>
        <scheme val="minor"/>
      </rPr>
      <t xml:space="preserve"> C-PACE ADMIN:</t>
    </r>
    <r>
      <rPr>
        <sz val="11"/>
        <color theme="1"/>
        <rFont val="Calibri"/>
        <family val="2"/>
        <scheme val="minor"/>
      </rPr>
      <t xml:space="preserve"> Emissions coefficients past the 2030-2034 compliance period will be determined by the City at a later date.</t>
    </r>
  </si>
  <si>
    <r>
      <rPr>
        <b/>
        <vertAlign val="superscript"/>
        <sz val="11"/>
        <color theme="1"/>
        <rFont val="Calibri"/>
        <family val="2"/>
        <scheme val="minor"/>
      </rPr>
      <t>2</t>
    </r>
    <r>
      <rPr>
        <b/>
        <sz val="11"/>
        <color theme="1"/>
        <rFont val="Calibri"/>
        <family val="2"/>
        <scheme val="minor"/>
      </rPr>
      <t xml:space="preserve"> C-PACE ADMIN:</t>
    </r>
    <r>
      <rPr>
        <sz val="11"/>
        <color theme="1"/>
        <rFont val="Calibri"/>
        <family val="2"/>
        <scheme val="minor"/>
      </rPr>
      <t xml:space="preserve"> Savings for HVAC and DHW must be stated in their respective Low Carbon Building Measure line items.</t>
    </r>
  </si>
  <si>
    <r>
      <rPr>
        <b/>
        <vertAlign val="superscript"/>
        <sz val="11"/>
        <color theme="1"/>
        <rFont val="Calibri"/>
        <family val="2"/>
        <scheme val="minor"/>
      </rPr>
      <t>1</t>
    </r>
    <r>
      <rPr>
        <b/>
        <sz val="11"/>
        <color theme="1"/>
        <rFont val="Calibri"/>
        <family val="2"/>
        <scheme val="minor"/>
      </rPr>
      <t xml:space="preserve"> C-PACE ADMIN: </t>
    </r>
    <r>
      <rPr>
        <sz val="11"/>
        <color theme="1"/>
        <rFont val="Calibri"/>
        <family val="2"/>
        <scheme val="minor"/>
      </rPr>
      <t>Please refer to the PACE Program Guidelines and Technical Guidance Supplement for the definitions of “Low Carbon Building” and “Total Project Costs”, as well as more guidance on the completing the Technical Certification Workbook.</t>
    </r>
  </si>
  <si>
    <r>
      <rPr>
        <b/>
        <vertAlign val="superscript"/>
        <sz val="11"/>
        <color theme="1"/>
        <rFont val="Calibri"/>
        <family val="2"/>
        <scheme val="minor"/>
      </rPr>
      <t>2</t>
    </r>
    <r>
      <rPr>
        <sz val="11"/>
        <color theme="1"/>
        <rFont val="Calibri"/>
        <family val="2"/>
        <scheme val="minor"/>
      </rPr>
      <t xml:space="preserve"> </t>
    </r>
    <r>
      <rPr>
        <b/>
        <sz val="11"/>
        <color theme="1"/>
        <rFont val="Calibri"/>
        <family val="2"/>
        <scheme val="minor"/>
      </rPr>
      <t xml:space="preserve">C-PACE ADMIN: </t>
    </r>
    <r>
      <rPr>
        <sz val="11"/>
        <color theme="1"/>
        <rFont val="Calibri"/>
        <family val="2"/>
        <scheme val="minor"/>
      </rPr>
      <t xml:space="preserve"> Ancillary Measures for New Construction may include, per NYSERDA guidance: Ancillary improvements also include system components for improved systems for existing buildings, or new systems for new construction required for energy recovery, ventilation, or to heat and cool a building, such as ducts, and electrical infrastructure work needed for building electrification.   Costs for ancillary measures may be included in Measure Cost. See the state guidance document and the NYC program Technical Guidance Supplement for more details.</t>
    </r>
  </si>
  <si>
    <r>
      <rPr>
        <b/>
        <vertAlign val="superscript"/>
        <sz val="11"/>
        <color theme="1"/>
        <rFont val="Calibri"/>
        <family val="2"/>
        <scheme val="minor"/>
      </rPr>
      <t xml:space="preserve">3 </t>
    </r>
    <r>
      <rPr>
        <b/>
        <sz val="11"/>
        <color theme="1"/>
        <rFont val="Calibri"/>
        <family val="2"/>
        <scheme val="minor"/>
      </rPr>
      <t xml:space="preserve">C-PACE ADMIN: </t>
    </r>
    <r>
      <rPr>
        <sz val="11"/>
        <color theme="1"/>
        <rFont val="Calibri"/>
        <family val="2"/>
        <scheme val="minor"/>
      </rPr>
      <t xml:space="preserve">Eligible Soft Costs may include, but are not limited to NYSERDA recognized energy audits and other pre-development work, such as improvement design work,and may be included in the Measure Cost for PACE eligible measures provided that the proposed improvement(s) would comply with the technical standards set forth in these guidelines.  Costs for Eligible Soft Costs may be included in Total Project Costs.
</t>
    </r>
  </si>
  <si>
    <t>Links to NYC and NYSERDA reference documents' landing pages:</t>
  </si>
  <si>
    <r>
      <rPr>
        <vertAlign val="superscript"/>
        <sz val="11"/>
        <color theme="1"/>
        <rFont val="Calibri"/>
        <family val="2"/>
        <scheme val="minor"/>
      </rPr>
      <t xml:space="preserve">1 </t>
    </r>
    <r>
      <rPr>
        <b/>
        <sz val="11"/>
        <color theme="1"/>
        <rFont val="Calibri"/>
        <family val="2"/>
        <scheme val="minor"/>
      </rPr>
      <t>C-PACE ADMIN</t>
    </r>
    <r>
      <rPr>
        <sz val="11"/>
        <color theme="1"/>
        <rFont val="Calibri"/>
        <family val="2"/>
        <scheme val="minor"/>
      </rPr>
      <t xml:space="preserve">: Emissions coefficients past the 2030-2034 compliance period will be determined by the City at a later date. Penalties for 2035 and beyond are estimated based on values the City has already published for the prior compliance period and are highly variable and likely to change. </t>
    </r>
  </si>
  <si>
    <r>
      <rPr>
        <b/>
        <sz val="11"/>
        <color theme="1"/>
        <rFont val="Calibri"/>
        <family val="2"/>
        <scheme val="minor"/>
      </rPr>
      <t>C-PACE ADMIN:</t>
    </r>
    <r>
      <rPr>
        <sz val="11"/>
        <color theme="1"/>
        <rFont val="Calibri"/>
        <family val="2"/>
        <scheme val="minor"/>
      </rPr>
      <t xml:space="preserve"> The City of New York and NYCEEC (acting as Program Administrator and Paying Agent) make no representations or warranties with respect to any of the estimates or other information contained in this workbook. </t>
    </r>
  </si>
  <si>
    <r>
      <rPr>
        <b/>
        <vertAlign val="superscript"/>
        <sz val="11"/>
        <rFont val="Calibri"/>
        <family val="2"/>
        <scheme val="minor"/>
      </rPr>
      <t xml:space="preserve">1 </t>
    </r>
    <r>
      <rPr>
        <b/>
        <sz val="11"/>
        <rFont val="Calibri"/>
        <family val="2"/>
        <scheme val="minor"/>
      </rPr>
      <t>C-PACE ADMIN:</t>
    </r>
    <r>
      <rPr>
        <sz val="11"/>
        <rFont val="Calibri"/>
        <family val="2"/>
        <scheme val="minor"/>
      </rPr>
      <t xml:space="preserve"> Search for the BBL on NYC ZOLA by searching by address: </t>
    </r>
  </si>
  <si>
    <r>
      <rPr>
        <b/>
        <vertAlign val="superscript"/>
        <sz val="11"/>
        <color theme="1"/>
        <rFont val="Calibri"/>
        <family val="2"/>
        <scheme val="minor"/>
      </rPr>
      <t>2</t>
    </r>
    <r>
      <rPr>
        <b/>
        <sz val="11"/>
        <color theme="1"/>
        <rFont val="Calibri"/>
        <family val="2"/>
        <scheme val="minor"/>
      </rPr>
      <t xml:space="preserve">C-PACE ADMIN: </t>
    </r>
    <r>
      <rPr>
        <sz val="11"/>
        <color theme="1"/>
        <rFont val="Calibri"/>
        <family val="2"/>
        <scheme val="minor"/>
      </rPr>
      <t xml:space="preserve">Total Eligible C-PACE Costs and Unit Costs only reflect upfront costs (i.e., costs before incentives or tax credits for energy efficiency improvements). </t>
    </r>
  </si>
  <si>
    <r>
      <rPr>
        <b/>
        <vertAlign val="superscript"/>
        <sz val="11"/>
        <color theme="1"/>
        <rFont val="Calibri"/>
        <family val="2"/>
        <scheme val="minor"/>
      </rPr>
      <t>3</t>
    </r>
    <r>
      <rPr>
        <b/>
        <sz val="11"/>
        <color theme="1"/>
        <rFont val="Calibri"/>
        <family val="2"/>
        <scheme val="minor"/>
      </rPr>
      <t>C-PACE ADMIN:</t>
    </r>
    <r>
      <rPr>
        <sz val="11"/>
        <color theme="1"/>
        <rFont val="Calibri"/>
        <family val="2"/>
        <scheme val="minor"/>
      </rPr>
      <t xml:space="preserve"> Emissions coefficients past the 2030-2034 compliance period will be determined by the City at a later date. Penalties for 2035 and beyond are estimated based on values the City has already published for the prior compliance period and are highly variable and likely to change. </t>
    </r>
  </si>
  <si>
    <t xml:space="preserve">Energy_Efficiency </t>
  </si>
  <si>
    <t>Lighting more efficient than code</t>
  </si>
  <si>
    <t>Non-HVAC fan system more efficient than code</t>
  </si>
  <si>
    <t>Non-HVAC pump system more efficient than code</t>
  </si>
  <si>
    <t>Process system more efficient than code or baseline</t>
  </si>
  <si>
    <t xml:space="preserve">Other energy efficiency better than code - please specify </t>
  </si>
  <si>
    <t>New Construction Version 1.1 as of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</si>
</sst>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00000_);\(#,##0.000000000\)"/>
    <numFmt numFmtId="167" formatCode="0.0000"/>
    <numFmt numFmtId="168" formatCode="_(* #,##0.0_);_(* \(#,##0.0\);_(* &quot;-&quot;??_);_(@_)"/>
    <numFmt numFmtId="169" formatCode="&quot;$&quot;#,##0.000_);\(&quot;$&quot;#,##0.000\)"/>
    <numFmt numFmtId="170" formatCode="#,##0.000000_);\(#,##0.000000\)"/>
  </numFmts>
  <fonts count="45"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sz val="11"/>
      <name val="Calibri"/>
      <family val="2"/>
      <scheme val="minor"/>
    </font>
    <font>
      <sz val="11"/>
      <color rgb="FF000000"/>
      <name val="Calibri"/>
      <family val="2"/>
      <scheme val="minor"/>
    </font>
    <font>
      <vertAlign val="superscript"/>
      <sz val="11"/>
      <color theme="1"/>
      <name val="Calibri"/>
      <family val="2"/>
      <scheme val="minor"/>
    </font>
    <font>
      <i/>
      <sz val="9"/>
      <color theme="1" tint="0.499984740745262"/>
      <name val="Calibri"/>
      <family val="2"/>
      <scheme val="minor"/>
    </font>
    <font>
      <sz val="9"/>
      <color theme="1" tint="0.499984740745262"/>
      <name val="Calibri"/>
      <family val="2"/>
      <scheme val="minor"/>
    </font>
    <font>
      <i/>
      <sz val="10"/>
      <name val="Calibri"/>
      <family val="2"/>
      <scheme val="minor"/>
    </font>
    <font>
      <sz val="11"/>
      <color rgb="FFFF0000"/>
      <name val="Calibri"/>
      <family val="2"/>
      <scheme val="minor"/>
    </font>
    <font>
      <sz val="9"/>
      <color indexed="81"/>
      <name val="Tahoma"/>
      <family val="2"/>
    </font>
    <font>
      <b/>
      <sz val="9"/>
      <color indexed="81"/>
      <name val="Tahoma"/>
      <family val="2"/>
    </font>
    <font>
      <sz val="8"/>
      <name val="Calibri"/>
      <family val="2"/>
      <scheme val="minor"/>
    </font>
    <font>
      <sz val="11"/>
      <color rgb="FFFF0000"/>
      <name val="Calibri"/>
      <family val="2"/>
    </font>
    <font>
      <u/>
      <sz val="11"/>
      <color theme="10"/>
      <name val="Calibri"/>
      <family val="2"/>
      <scheme val="minor"/>
    </font>
    <font>
      <u/>
      <sz val="11"/>
      <color theme="1"/>
      <name val="Calibri"/>
      <family val="2"/>
      <scheme val="minor"/>
    </font>
    <font>
      <b/>
      <sz val="11"/>
      <name val="Calibri"/>
      <family val="2"/>
      <scheme val="minor"/>
    </font>
    <font>
      <i/>
      <sz val="11"/>
      <color theme="1"/>
      <name val="Calibri"/>
      <family val="2"/>
      <scheme val="minor"/>
    </font>
    <font>
      <b/>
      <i/>
      <sz val="10"/>
      <color theme="1"/>
      <name val="Calibri"/>
      <family val="2"/>
      <scheme val="minor"/>
    </font>
    <font>
      <u/>
      <sz val="11"/>
      <name val="Calibri"/>
      <family val="2"/>
      <scheme val="minor"/>
    </font>
    <font>
      <i/>
      <sz val="14"/>
      <color rgb="FFFF0000"/>
      <name val="Calibri"/>
      <family val="2"/>
      <scheme val="minor"/>
    </font>
    <font>
      <b/>
      <i/>
      <sz val="11"/>
      <color rgb="FFFF0000"/>
      <name val="Calibri"/>
      <family val="2"/>
      <scheme val="minor"/>
    </font>
    <font>
      <i/>
      <sz val="11"/>
      <color rgb="FF00B050"/>
      <name val="Calibri"/>
      <family val="2"/>
      <scheme val="minor"/>
    </font>
    <font>
      <sz val="11"/>
      <color rgb="FF00B050"/>
      <name val="Calibri"/>
      <family val="2"/>
      <scheme val="minor"/>
    </font>
    <font>
      <i/>
      <sz val="11"/>
      <name val="Calibri"/>
      <family val="2"/>
      <scheme val="minor"/>
    </font>
    <font>
      <b/>
      <i/>
      <sz val="10"/>
      <name val="Calibri"/>
      <family val="2"/>
      <scheme val="minor"/>
    </font>
    <font>
      <sz val="11"/>
      <color theme="5"/>
      <name val="Calibri"/>
      <family val="2"/>
      <scheme val="minor"/>
    </font>
    <font>
      <b/>
      <sz val="11"/>
      <color theme="4"/>
      <name val="Calibri"/>
      <family val="2"/>
      <scheme val="minor"/>
    </font>
    <font>
      <sz val="11"/>
      <color theme="4"/>
      <name val="Calibri"/>
      <family val="2"/>
      <scheme val="minor"/>
    </font>
    <font>
      <sz val="11"/>
      <color rgb="FFFFC000"/>
      <name val="Calibri"/>
      <family val="2"/>
      <scheme val="minor"/>
    </font>
    <font>
      <b/>
      <vertAlign val="superscript"/>
      <sz val="11"/>
      <color theme="1"/>
      <name val="Calibri"/>
      <family val="2"/>
      <scheme val="minor"/>
    </font>
    <font>
      <b/>
      <vertAlign val="superscript"/>
      <sz val="11"/>
      <name val="Calibri"/>
      <family val="2"/>
      <scheme val="minor"/>
    </font>
    <font>
      <vertAlign val="superscript"/>
      <sz val="11"/>
      <name val="Calibri"/>
      <family val="2"/>
      <scheme val="minor"/>
    </font>
    <font>
      <b/>
      <sz val="11"/>
      <color indexed="81"/>
      <name val="Tahoma"/>
      <family val="2"/>
    </font>
    <font>
      <sz val="11"/>
      <color indexed="81"/>
      <name val="Tahoma"/>
      <family val="2"/>
    </font>
    <font>
      <b/>
      <i/>
      <sz val="12"/>
      <color rgb="FF000000"/>
      <name val="Times New Roman"/>
      <family val="1"/>
    </font>
    <font>
      <b/>
      <sz val="12"/>
      <color theme="1"/>
      <name val="Calibri"/>
      <family val="2"/>
      <scheme val="minor"/>
    </font>
    <font>
      <b/>
      <i/>
      <sz val="11"/>
      <color theme="1"/>
      <name val="Calibri"/>
      <family val="2"/>
      <scheme val="minor"/>
    </font>
    <font>
      <b/>
      <i/>
      <sz val="11"/>
      <name val="Calibri"/>
      <family val="2"/>
      <scheme val="minor"/>
    </font>
    <font>
      <b/>
      <sz val="11"/>
      <color theme="0"/>
      <name val="Calibri"/>
      <family val="2"/>
      <scheme val="minor"/>
    </font>
    <font>
      <i/>
      <vertAlign val="superscript"/>
      <sz val="11"/>
      <name val="Calibri"/>
      <family val="2"/>
      <scheme val="minor"/>
    </font>
    <font>
      <i/>
      <sz val="12"/>
      <color theme="1"/>
      <name val="Calibri"/>
      <family val="2"/>
      <scheme val="minor"/>
    </font>
    <font>
      <i/>
      <vertAlign val="superscript"/>
      <sz val="10"/>
      <color theme="1"/>
      <name val="Calibri"/>
      <family val="2"/>
      <scheme val="minor"/>
    </font>
    <font>
      <b/>
      <sz val="16"/>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bgColor theme="4"/>
      </patternFill>
    </fill>
  </fills>
  <borders count="10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medium">
        <color theme="1" tint="0.249977111117893"/>
      </right>
      <top style="thin">
        <color theme="1" tint="0.249977111117893"/>
      </top>
      <bottom style="thin">
        <color theme="1" tint="0.249977111117893"/>
      </bottom>
      <diagonal/>
    </border>
    <border>
      <left style="medium">
        <color theme="1" tint="0.249977111117893"/>
      </left>
      <right style="thin">
        <color theme="1" tint="0.249977111117893"/>
      </right>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medium">
        <color theme="1" tint="0.249977111117893"/>
      </right>
      <top/>
      <bottom style="thin">
        <color theme="1" tint="0.249977111117893"/>
      </bottom>
      <diagonal/>
    </border>
    <border>
      <left style="medium">
        <color theme="1" tint="0.249977111117893"/>
      </left>
      <right style="thin">
        <color theme="1" tint="0.249977111117893"/>
      </right>
      <top style="medium">
        <color theme="1" tint="0.249977111117893"/>
      </top>
      <bottom style="medium">
        <color theme="1" tint="0.249977111117893"/>
      </bottom>
      <diagonal/>
    </border>
    <border>
      <left style="thin">
        <color theme="1" tint="0.249977111117893"/>
      </left>
      <right style="thin">
        <color theme="1" tint="0.249977111117893"/>
      </right>
      <top style="medium">
        <color theme="1" tint="0.249977111117893"/>
      </top>
      <bottom style="medium">
        <color theme="1" tint="0.249977111117893"/>
      </bottom>
      <diagonal/>
    </border>
    <border>
      <left style="thin">
        <color theme="1" tint="0.249977111117893"/>
      </left>
      <right style="medium">
        <color theme="1" tint="0.249977111117893"/>
      </right>
      <top style="medium">
        <color theme="1" tint="0.249977111117893"/>
      </top>
      <bottom style="medium">
        <color theme="1" tint="0.249977111117893"/>
      </bottom>
      <diagonal/>
    </border>
    <border>
      <left style="medium">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diagonal/>
    </border>
    <border>
      <left style="thin">
        <color theme="1" tint="0.249977111117893"/>
      </left>
      <right style="thin">
        <color theme="1" tint="0.249977111117893"/>
      </right>
      <top/>
      <bottom/>
      <diagonal/>
    </border>
    <border>
      <left style="thin">
        <color theme="1" tint="0.249977111117893"/>
      </left>
      <right style="medium">
        <color theme="1" tint="0.249977111117893"/>
      </right>
      <top/>
      <bottom/>
      <diagonal/>
    </border>
    <border>
      <left style="thin">
        <color theme="1" tint="0.249977111117893"/>
      </left>
      <right/>
      <top style="medium">
        <color theme="1" tint="0.249977111117893"/>
      </top>
      <bottom style="medium">
        <color theme="1" tint="0.249977111117893"/>
      </bottom>
      <diagonal/>
    </border>
    <border>
      <left style="thin">
        <color theme="1" tint="0.249977111117893"/>
      </left>
      <right/>
      <top/>
      <bottom style="thin">
        <color theme="1" tint="0.249977111117893"/>
      </bottom>
      <diagonal/>
    </border>
    <border>
      <left style="thin">
        <color theme="1" tint="0.249977111117893"/>
      </left>
      <right/>
      <top style="thin">
        <color theme="1" tint="0.249977111117893"/>
      </top>
      <bottom/>
      <diagonal/>
    </border>
    <border>
      <left style="thin">
        <color theme="1" tint="0.249977111117893"/>
      </left>
      <right/>
      <top/>
      <bottom/>
      <diagonal/>
    </border>
    <border>
      <left style="medium">
        <color theme="1" tint="0.249977111117893"/>
      </left>
      <right/>
      <top style="medium">
        <color theme="1" tint="0.249977111117893"/>
      </top>
      <bottom style="medium">
        <color theme="1" tint="0.249977111117893"/>
      </bottom>
      <diagonal/>
    </border>
    <border>
      <left/>
      <right/>
      <top style="medium">
        <color theme="1" tint="0.249977111117893"/>
      </top>
      <bottom style="medium">
        <color theme="1" tint="0.249977111117893"/>
      </bottom>
      <diagonal/>
    </border>
    <border>
      <left/>
      <right style="medium">
        <color theme="1" tint="0.249977111117893"/>
      </right>
      <top style="medium">
        <color theme="1" tint="0.249977111117893"/>
      </top>
      <bottom style="medium">
        <color theme="1" tint="0.249977111117893"/>
      </bottom>
      <diagonal/>
    </border>
    <border>
      <left style="thin">
        <color indexed="64"/>
      </left>
      <right style="thin">
        <color indexed="64"/>
      </right>
      <top/>
      <bottom/>
      <diagonal/>
    </border>
    <border>
      <left style="thin">
        <color theme="1" tint="0.249977111117893"/>
      </left>
      <right style="medium">
        <color theme="1" tint="0.249977111117893"/>
      </right>
      <top style="thin">
        <color theme="1" tint="0.249977111117893"/>
      </top>
      <bottom/>
      <diagonal/>
    </border>
    <border>
      <left/>
      <right style="medium">
        <color indexed="64"/>
      </right>
      <top/>
      <bottom style="medium">
        <color indexed="64"/>
      </bottom>
      <diagonal/>
    </border>
    <border>
      <left/>
      <right style="thin">
        <color theme="1" tint="0.249977111117893"/>
      </right>
      <top style="medium">
        <color indexed="64"/>
      </top>
      <bottom/>
      <diagonal/>
    </border>
    <border>
      <left style="thin">
        <color theme="1" tint="0.249977111117893"/>
      </left>
      <right/>
      <top style="medium">
        <color indexed="64"/>
      </top>
      <bottom/>
      <diagonal/>
    </border>
    <border>
      <left style="thin">
        <color theme="1" tint="0.249977111117893"/>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theme="1" tint="0.249977111117893"/>
      </left>
      <right/>
      <top style="medium">
        <color theme="1" tint="0.249977111117893"/>
      </top>
      <bottom/>
      <diagonal/>
    </border>
    <border>
      <left/>
      <right/>
      <top style="medium">
        <color theme="1" tint="0.249977111117893"/>
      </top>
      <bottom/>
      <diagonal/>
    </border>
    <border>
      <left/>
      <right style="medium">
        <color theme="1" tint="0.249977111117893"/>
      </right>
      <top style="medium">
        <color theme="1" tint="0.249977111117893"/>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theme="1" tint="0.249977111117893"/>
      </bottom>
      <diagonal/>
    </border>
    <border>
      <left/>
      <right style="medium">
        <color theme="1" tint="0.249977111117893"/>
      </right>
      <top style="thin">
        <color indexed="64"/>
      </top>
      <bottom style="medium">
        <color theme="1" tint="0.249977111117893"/>
      </bottom>
      <diagonal/>
    </border>
    <border>
      <left style="medium">
        <color theme="1" tint="0.249977111117893"/>
      </left>
      <right style="thin">
        <color indexed="64"/>
      </right>
      <top style="thin">
        <color indexed="64"/>
      </top>
      <bottom style="medium">
        <color theme="1" tint="0.249977111117893"/>
      </bottom>
      <diagonal/>
    </border>
    <border>
      <left/>
      <right style="thin">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451">
    <xf numFmtId="0" fontId="0" fillId="0" borderId="0" xfId="0"/>
    <xf numFmtId="37" fontId="0" fillId="0" borderId="1" xfId="0" applyNumberFormat="1" applyBorder="1" applyAlignment="1" applyProtection="1">
      <alignment horizontal="left"/>
      <protection locked="0"/>
    </xf>
    <xf numFmtId="0" fontId="0" fillId="0" borderId="12" xfId="0" applyBorder="1" applyProtection="1">
      <protection locked="0"/>
    </xf>
    <xf numFmtId="0" fontId="0" fillId="0" borderId="11" xfId="0" applyBorder="1" applyProtection="1">
      <protection locked="0"/>
    </xf>
    <xf numFmtId="39" fontId="0" fillId="0" borderId="11" xfId="0" applyNumberFormat="1" applyBorder="1" applyProtection="1">
      <protection locked="0"/>
    </xf>
    <xf numFmtId="0" fontId="0" fillId="0" borderId="2" xfId="0" applyBorder="1" applyProtection="1">
      <protection locked="0"/>
    </xf>
    <xf numFmtId="0" fontId="0" fillId="0" borderId="1" xfId="0" applyBorder="1" applyProtection="1">
      <protection locked="0"/>
    </xf>
    <xf numFmtId="39" fontId="0" fillId="0" borderId="1" xfId="0" applyNumberFormat="1" applyBorder="1" applyProtection="1">
      <protection locked="0"/>
    </xf>
    <xf numFmtId="0" fontId="0" fillId="0" borderId="9" xfId="0" applyBorder="1" applyProtection="1">
      <protection locked="0"/>
    </xf>
    <xf numFmtId="0" fontId="0" fillId="0" borderId="10" xfId="0" applyBorder="1" applyProtection="1">
      <protection locked="0"/>
    </xf>
    <xf numFmtId="39" fontId="0" fillId="0" borderId="10" xfId="0" applyNumberFormat="1" applyBorder="1" applyProtection="1">
      <protection locked="0"/>
    </xf>
    <xf numFmtId="44" fontId="0" fillId="0" borderId="10" xfId="1" applyNumberFormat="1" applyFont="1" applyBorder="1" applyProtection="1">
      <protection locked="0"/>
    </xf>
    <xf numFmtId="44" fontId="0" fillId="0" borderId="3" xfId="2" applyFont="1" applyFill="1" applyBorder="1" applyAlignment="1" applyProtection="1">
      <alignment wrapText="1"/>
      <protection locked="0"/>
    </xf>
    <xf numFmtId="165" fontId="0" fillId="0" borderId="1" xfId="1" applyNumberFormat="1" applyFont="1" applyFill="1" applyBorder="1" applyAlignment="1" applyProtection="1">
      <alignment wrapText="1"/>
      <protection locked="0"/>
    </xf>
    <xf numFmtId="165" fontId="0" fillId="0" borderId="11" xfId="1" applyNumberFormat="1" applyFont="1" applyFill="1" applyBorder="1" applyAlignment="1" applyProtection="1">
      <alignment wrapText="1"/>
      <protection locked="0"/>
    </xf>
    <xf numFmtId="37" fontId="0" fillId="0" borderId="9" xfId="0" applyNumberFormat="1" applyBorder="1" applyAlignment="1" applyProtection="1">
      <alignment horizontal="center"/>
      <protection locked="0"/>
    </xf>
    <xf numFmtId="1" fontId="0" fillId="0" borderId="80" xfId="0" applyNumberFormat="1" applyBorder="1" applyAlignment="1" applyProtection="1">
      <alignment horizontal="right"/>
      <protection locked="0"/>
    </xf>
    <xf numFmtId="44" fontId="0" fillId="0" borderId="1" xfId="1" applyNumberFormat="1" applyFont="1" applyBorder="1" applyProtection="1">
      <protection locked="0"/>
    </xf>
    <xf numFmtId="165" fontId="0" fillId="0" borderId="73" xfId="1" applyNumberFormat="1" applyFont="1" applyFill="1" applyBorder="1" applyAlignment="1" applyProtection="1">
      <alignment wrapText="1"/>
      <protection locked="0"/>
    </xf>
    <xf numFmtId="0" fontId="0" fillId="0" borderId="49" xfId="0" applyBorder="1" applyProtection="1">
      <protection locked="0"/>
    </xf>
    <xf numFmtId="39" fontId="0" fillId="0" borderId="49" xfId="0" applyNumberFormat="1" applyBorder="1" applyProtection="1">
      <protection locked="0"/>
    </xf>
    <xf numFmtId="44" fontId="0" fillId="0" borderId="27" xfId="1" applyNumberFormat="1" applyFont="1" applyBorder="1" applyProtection="1">
      <protection locked="0"/>
    </xf>
    <xf numFmtId="44" fontId="0" fillId="0" borderId="1" xfId="2" applyFont="1" applyFill="1" applyBorder="1" applyAlignment="1" applyProtection="1">
      <alignment wrapText="1"/>
      <protection locked="0"/>
    </xf>
    <xf numFmtId="37" fontId="0" fillId="0" borderId="11" xfId="0" applyNumberFormat="1" applyBorder="1" applyAlignment="1" applyProtection="1">
      <alignment horizontal="left"/>
      <protection locked="0"/>
    </xf>
    <xf numFmtId="169" fontId="0" fillId="0" borderId="11" xfId="0" applyNumberFormat="1" applyBorder="1" applyAlignment="1" applyProtection="1">
      <alignment horizontal="left"/>
      <protection locked="0"/>
    </xf>
    <xf numFmtId="37" fontId="0" fillId="0" borderId="10" xfId="0" applyNumberFormat="1" applyBorder="1" applyAlignment="1" applyProtection="1">
      <alignment horizontal="left"/>
      <protection locked="0"/>
    </xf>
    <xf numFmtId="2" fontId="0" fillId="0" borderId="1" xfId="0" applyNumberFormat="1" applyBorder="1" applyProtection="1">
      <protection locked="0"/>
    </xf>
    <xf numFmtId="2" fontId="0" fillId="0" borderId="10" xfId="0" applyNumberFormat="1" applyBorder="1" applyProtection="1">
      <protection locked="0"/>
    </xf>
    <xf numFmtId="44" fontId="0" fillId="5" borderId="4" xfId="1" quotePrefix="1" applyNumberFormat="1" applyFont="1" applyFill="1" applyBorder="1" applyAlignment="1" applyProtection="1">
      <alignment horizontal="center"/>
    </xf>
    <xf numFmtId="44" fontId="0" fillId="0" borderId="11" xfId="2" applyFont="1" applyFill="1" applyBorder="1" applyAlignment="1" applyProtection="1">
      <alignment wrapText="1"/>
      <protection locked="0"/>
    </xf>
    <xf numFmtId="44" fontId="0" fillId="0" borderId="22" xfId="2" applyFont="1" applyFill="1" applyBorder="1" applyAlignment="1" applyProtection="1">
      <alignment wrapText="1"/>
      <protection locked="0"/>
    </xf>
    <xf numFmtId="165" fontId="0" fillId="0" borderId="94" xfId="1" applyNumberFormat="1" applyFont="1" applyFill="1" applyBorder="1" applyAlignment="1" applyProtection="1">
      <alignment wrapText="1"/>
      <protection locked="0"/>
    </xf>
    <xf numFmtId="44" fontId="0" fillId="0" borderId="94" xfId="2" applyFont="1" applyFill="1" applyBorder="1" applyAlignment="1" applyProtection="1">
      <alignment wrapText="1"/>
      <protection locked="0"/>
    </xf>
    <xf numFmtId="44" fontId="0" fillId="0" borderId="95" xfId="2" applyFont="1" applyFill="1" applyBorder="1" applyAlignment="1" applyProtection="1">
      <alignment wrapText="1"/>
      <protection locked="0"/>
    </xf>
    <xf numFmtId="165" fontId="0" fillId="0" borderId="93" xfId="1" applyNumberFormat="1" applyFont="1" applyFill="1" applyBorder="1" applyAlignment="1" applyProtection="1">
      <alignment wrapText="1"/>
      <protection locked="0"/>
    </xf>
    <xf numFmtId="0" fontId="15" fillId="0" borderId="0" xfId="4" applyFill="1" applyBorder="1" applyAlignment="1" applyProtection="1">
      <alignment horizontal="left" vertical="center"/>
    </xf>
    <xf numFmtId="0" fontId="15" fillId="0" borderId="0" xfId="4" applyFill="1" applyBorder="1" applyAlignment="1" applyProtection="1">
      <alignment vertical="center"/>
    </xf>
    <xf numFmtId="0" fontId="0" fillId="0" borderId="96" xfId="0" applyBorder="1" applyProtection="1">
      <protection locked="0"/>
    </xf>
    <xf numFmtId="2" fontId="0" fillId="0" borderId="49" xfId="0" applyNumberFormat="1" applyBorder="1" applyProtection="1">
      <protection locked="0"/>
    </xf>
    <xf numFmtId="44" fontId="0" fillId="5" borderId="5" xfId="1" applyNumberFormat="1" applyFont="1" applyFill="1" applyBorder="1" applyProtection="1"/>
    <xf numFmtId="0" fontId="0" fillId="0" borderId="101" xfId="0" applyBorder="1" applyProtection="1">
      <protection locked="0"/>
    </xf>
    <xf numFmtId="0" fontId="4" fillId="5" borderId="100" xfId="0" applyFont="1" applyFill="1" applyBorder="1" applyAlignment="1">
      <alignment horizontal="right" indent="1"/>
    </xf>
    <xf numFmtId="0" fontId="4" fillId="5" borderId="98" xfId="0" applyFont="1" applyFill="1" applyBorder="1" applyAlignment="1">
      <alignment horizontal="left"/>
    </xf>
    <xf numFmtId="0" fontId="4" fillId="5" borderId="99" xfId="0" applyFont="1" applyFill="1" applyBorder="1" applyAlignment="1">
      <alignment horizontal="left"/>
    </xf>
    <xf numFmtId="0" fontId="4" fillId="0" borderId="0" xfId="0" applyFont="1"/>
    <xf numFmtId="0" fontId="4" fillId="5" borderId="81" xfId="0" applyFont="1" applyFill="1" applyBorder="1"/>
    <xf numFmtId="164" fontId="4" fillId="5" borderId="49" xfId="2" applyNumberFormat="1" applyFont="1" applyFill="1" applyBorder="1" applyAlignment="1" applyProtection="1">
      <alignment horizontal="left"/>
    </xf>
    <xf numFmtId="37" fontId="4" fillId="2" borderId="38" xfId="0" applyNumberFormat="1" applyFont="1" applyFill="1" applyBorder="1" applyAlignment="1">
      <alignment horizontal="left"/>
    </xf>
    <xf numFmtId="37" fontId="4" fillId="2" borderId="50" xfId="0" applyNumberFormat="1" applyFont="1" applyFill="1" applyBorder="1" applyAlignment="1">
      <alignment horizontal="left"/>
    </xf>
    <xf numFmtId="0" fontId="4" fillId="5" borderId="39" xfId="0" applyFont="1" applyFill="1" applyBorder="1"/>
    <xf numFmtId="164" fontId="4" fillId="5" borderId="11" xfId="2" applyNumberFormat="1" applyFont="1" applyFill="1" applyBorder="1" applyAlignment="1" applyProtection="1">
      <alignment horizontal="left"/>
    </xf>
    <xf numFmtId="37" fontId="4" fillId="2" borderId="0" xfId="0" applyNumberFormat="1" applyFont="1" applyFill="1" applyAlignment="1">
      <alignment horizontal="left"/>
    </xf>
    <xf numFmtId="37" fontId="4" fillId="2" borderId="88" xfId="0" applyNumberFormat="1" applyFont="1" applyFill="1" applyBorder="1" applyAlignment="1">
      <alignment horizontal="left"/>
    </xf>
    <xf numFmtId="0" fontId="4" fillId="5" borderId="23" xfId="0" applyFont="1" applyFill="1" applyBorder="1"/>
    <xf numFmtId="9" fontId="4" fillId="5" borderId="24" xfId="3" applyFont="1" applyFill="1" applyBorder="1" applyAlignment="1" applyProtection="1">
      <alignment horizontal="left"/>
    </xf>
    <xf numFmtId="37" fontId="4" fillId="2" borderId="45" xfId="0" applyNumberFormat="1" applyFont="1" applyFill="1" applyBorder="1" applyAlignment="1">
      <alignment horizontal="left"/>
    </xf>
    <xf numFmtId="37" fontId="4" fillId="2" borderId="75" xfId="0" applyNumberFormat="1" applyFont="1" applyFill="1" applyBorder="1" applyAlignment="1">
      <alignment horizontal="left"/>
    </xf>
    <xf numFmtId="0" fontId="17" fillId="0" borderId="0" xfId="0" applyFont="1" applyAlignment="1">
      <alignment vertical="center"/>
    </xf>
    <xf numFmtId="0" fontId="24" fillId="0" borderId="0" xfId="0" applyFont="1" applyAlignment="1">
      <alignment vertical="center"/>
    </xf>
    <xf numFmtId="0" fontId="4" fillId="5" borderId="55" xfId="0" applyFont="1" applyFill="1" applyBorder="1"/>
    <xf numFmtId="0" fontId="20" fillId="5" borderId="56" xfId="0" applyFont="1" applyFill="1" applyBorder="1" applyAlignment="1">
      <alignment horizontal="center"/>
    </xf>
    <xf numFmtId="0" fontId="20" fillId="5" borderId="67" xfId="0" applyFont="1" applyFill="1" applyBorder="1" applyAlignment="1">
      <alignment horizontal="center"/>
    </xf>
    <xf numFmtId="0" fontId="20" fillId="5" borderId="57" xfId="0" applyFont="1" applyFill="1" applyBorder="1" applyAlignment="1">
      <alignment horizontal="center"/>
    </xf>
    <xf numFmtId="0" fontId="23" fillId="0" borderId="0" xfId="0" applyFont="1"/>
    <xf numFmtId="0" fontId="24" fillId="0" borderId="0" xfId="0" applyFont="1"/>
    <xf numFmtId="0" fontId="4" fillId="5" borderId="53" xfId="0" applyFont="1" applyFill="1" applyBorder="1"/>
    <xf numFmtId="0" fontId="4" fillId="5" borderId="51" xfId="0" applyFont="1" applyFill="1" applyBorder="1"/>
    <xf numFmtId="0" fontId="4" fillId="5" borderId="52" xfId="0" applyFont="1" applyFill="1" applyBorder="1"/>
    <xf numFmtId="0" fontId="4" fillId="5" borderId="54" xfId="0" applyFont="1" applyFill="1" applyBorder="1"/>
    <xf numFmtId="0" fontId="4" fillId="5" borderId="53" xfId="0" applyFont="1" applyFill="1" applyBorder="1" applyAlignment="1">
      <alignment horizontal="left" indent="1"/>
    </xf>
    <xf numFmtId="37" fontId="4" fillId="5" borderId="51" xfId="0" applyNumberFormat="1" applyFont="1" applyFill="1" applyBorder="1" applyAlignment="1">
      <alignment horizontal="left"/>
    </xf>
    <xf numFmtId="37" fontId="4" fillId="5" borderId="52" xfId="0" applyNumberFormat="1" applyFont="1" applyFill="1" applyBorder="1" applyAlignment="1">
      <alignment horizontal="left"/>
    </xf>
    <xf numFmtId="9" fontId="4" fillId="5" borderId="54" xfId="3" applyFont="1" applyFill="1" applyBorder="1" applyAlignment="1" applyProtection="1">
      <alignment horizontal="left"/>
    </xf>
    <xf numFmtId="0" fontId="4" fillId="5" borderId="61" xfId="0" applyFont="1" applyFill="1" applyBorder="1" applyAlignment="1">
      <alignment horizontal="left" indent="1"/>
    </xf>
    <xf numFmtId="37" fontId="4" fillId="5" borderId="68" xfId="0" applyNumberFormat="1" applyFont="1" applyFill="1" applyBorder="1" applyAlignment="1">
      <alignment horizontal="left"/>
    </xf>
    <xf numFmtId="0" fontId="4" fillId="5" borderId="58" xfId="0" applyFont="1" applyFill="1" applyBorder="1" applyAlignment="1">
      <alignment horizontal="left" indent="1"/>
    </xf>
    <xf numFmtId="37" fontId="4" fillId="5" borderId="59" xfId="0" applyNumberFormat="1" applyFont="1" applyFill="1" applyBorder="1" applyAlignment="1">
      <alignment horizontal="left"/>
    </xf>
    <xf numFmtId="37" fontId="4" fillId="5" borderId="66" xfId="0" applyNumberFormat="1" applyFont="1" applyFill="1" applyBorder="1" applyAlignment="1">
      <alignment horizontal="left"/>
    </xf>
    <xf numFmtId="9" fontId="4" fillId="5" borderId="60" xfId="3" applyFont="1" applyFill="1" applyBorder="1" applyAlignment="1" applyProtection="1">
      <alignment horizontal="left"/>
    </xf>
    <xf numFmtId="0" fontId="4" fillId="5" borderId="56" xfId="0" applyFont="1" applyFill="1" applyBorder="1"/>
    <xf numFmtId="0" fontId="4" fillId="5" borderId="67" xfId="0" applyFont="1" applyFill="1" applyBorder="1"/>
    <xf numFmtId="9" fontId="4" fillId="5" borderId="57" xfId="3" applyFont="1" applyFill="1" applyBorder="1" applyAlignment="1" applyProtection="1">
      <alignment horizontal="left"/>
    </xf>
    <xf numFmtId="5" fontId="4" fillId="5" borderId="51" xfId="0" applyNumberFormat="1" applyFont="1" applyFill="1" applyBorder="1" applyAlignment="1">
      <alignment horizontal="left"/>
    </xf>
    <xf numFmtId="5" fontId="4" fillId="5" borderId="52" xfId="0" applyNumberFormat="1" applyFont="1" applyFill="1" applyBorder="1" applyAlignment="1">
      <alignment horizontal="left"/>
    </xf>
    <xf numFmtId="5" fontId="4" fillId="5" borderId="62" xfId="0" applyNumberFormat="1" applyFont="1" applyFill="1" applyBorder="1" applyAlignment="1">
      <alignment horizontal="left"/>
    </xf>
    <xf numFmtId="5" fontId="4" fillId="5" borderId="68" xfId="0" applyNumberFormat="1" applyFont="1" applyFill="1" applyBorder="1" applyAlignment="1">
      <alignment horizontal="left"/>
    </xf>
    <xf numFmtId="5" fontId="4" fillId="5" borderId="59" xfId="0" applyNumberFormat="1" applyFont="1" applyFill="1" applyBorder="1" applyAlignment="1">
      <alignment horizontal="left"/>
    </xf>
    <xf numFmtId="5" fontId="4" fillId="5" borderId="66" xfId="0" applyNumberFormat="1" applyFont="1" applyFill="1" applyBorder="1" applyAlignment="1">
      <alignment horizontal="left"/>
    </xf>
    <xf numFmtId="0" fontId="4" fillId="5" borderId="63" xfId="0" applyFont="1" applyFill="1" applyBorder="1"/>
    <xf numFmtId="0" fontId="4" fillId="5" borderId="64" xfId="0" applyFont="1" applyFill="1" applyBorder="1"/>
    <xf numFmtId="0" fontId="4" fillId="5" borderId="69" xfId="0" applyFont="1" applyFill="1" applyBorder="1"/>
    <xf numFmtId="9" fontId="4" fillId="5" borderId="65" xfId="3" applyFont="1" applyFill="1" applyBorder="1" applyAlignment="1" applyProtection="1">
      <alignment horizontal="left"/>
    </xf>
    <xf numFmtId="0" fontId="27" fillId="0" borderId="0" xfId="0" applyFont="1"/>
    <xf numFmtId="0" fontId="4" fillId="5" borderId="58" xfId="0" applyFont="1" applyFill="1" applyBorder="1"/>
    <xf numFmtId="0" fontId="4" fillId="5" borderId="59" xfId="0" applyFont="1" applyFill="1" applyBorder="1"/>
    <xf numFmtId="0" fontId="4" fillId="5" borderId="66" xfId="0" applyFont="1" applyFill="1" applyBorder="1"/>
    <xf numFmtId="44" fontId="4" fillId="5" borderId="66" xfId="0" applyNumberFormat="1" applyFont="1" applyFill="1" applyBorder="1" applyAlignment="1">
      <alignment horizontal="left"/>
    </xf>
    <xf numFmtId="0" fontId="10" fillId="0" borderId="0" xfId="0" applyFont="1"/>
    <xf numFmtId="0" fontId="4" fillId="5" borderId="6" xfId="0" applyFont="1" applyFill="1" applyBorder="1"/>
    <xf numFmtId="0" fontId="4" fillId="5" borderId="49" xfId="0" applyFont="1" applyFill="1" applyBorder="1"/>
    <xf numFmtId="9" fontId="4" fillId="5" borderId="19" xfId="3" applyFont="1" applyFill="1" applyBorder="1" applyAlignment="1" applyProtection="1">
      <alignment horizontal="center"/>
    </xf>
    <xf numFmtId="0" fontId="4" fillId="5" borderId="7" xfId="0" applyFont="1" applyFill="1" applyBorder="1" applyAlignment="1">
      <alignment horizontal="left" indent="1"/>
    </xf>
    <xf numFmtId="5" fontId="4" fillId="5" borderId="1" xfId="0" applyNumberFormat="1" applyFont="1" applyFill="1" applyBorder="1" applyAlignment="1">
      <alignment horizontal="left"/>
    </xf>
    <xf numFmtId="9" fontId="4" fillId="5" borderId="1" xfId="3" applyFont="1" applyFill="1" applyBorder="1" applyAlignment="1" applyProtection="1">
      <alignment horizontal="left"/>
    </xf>
    <xf numFmtId="0" fontId="4" fillId="3" borderId="77" xfId="0" applyFont="1" applyFill="1" applyBorder="1"/>
    <xf numFmtId="9" fontId="4" fillId="3" borderId="78" xfId="3" applyFont="1" applyFill="1" applyBorder="1" applyAlignment="1" applyProtection="1">
      <alignment horizontal="left"/>
    </xf>
    <xf numFmtId="5" fontId="17" fillId="3" borderId="1" xfId="0" applyNumberFormat="1" applyFont="1" applyFill="1" applyBorder="1" applyAlignment="1">
      <alignment horizontal="left"/>
    </xf>
    <xf numFmtId="9" fontId="4" fillId="3" borderId="3" xfId="3" applyFont="1" applyFill="1" applyBorder="1" applyAlignment="1" applyProtection="1">
      <alignment horizontal="left"/>
    </xf>
    <xf numFmtId="9" fontId="4" fillId="3" borderId="29" xfId="3" applyFont="1" applyFill="1" applyBorder="1" applyAlignment="1" applyProtection="1">
      <alignment horizontal="left"/>
    </xf>
    <xf numFmtId="5" fontId="17" fillId="3" borderId="4" xfId="0" applyNumberFormat="1" applyFont="1" applyFill="1" applyBorder="1" applyAlignment="1">
      <alignment horizontal="left"/>
    </xf>
    <xf numFmtId="9" fontId="4" fillId="3" borderId="5" xfId="3" applyFont="1" applyFill="1" applyBorder="1" applyAlignment="1" applyProtection="1">
      <alignment horizontal="left"/>
    </xf>
    <xf numFmtId="0" fontId="4" fillId="0" borderId="0" xfId="0" applyFont="1" applyAlignment="1">
      <alignment horizontal="left" vertical="center"/>
    </xf>
    <xf numFmtId="0" fontId="4" fillId="0" borderId="0" xfId="0" quotePrefix="1" applyFont="1"/>
    <xf numFmtId="0" fontId="4" fillId="5" borderId="61" xfId="0" applyFont="1" applyFill="1" applyBorder="1" applyAlignment="1">
      <alignment horizontal="right" indent="1"/>
    </xf>
    <xf numFmtId="0" fontId="4" fillId="5" borderId="53" xfId="0" applyFont="1" applyFill="1" applyBorder="1" applyAlignment="1">
      <alignment horizontal="right" indent="1"/>
    </xf>
    <xf numFmtId="0" fontId="4" fillId="5" borderId="55" xfId="0" applyFont="1" applyFill="1" applyBorder="1" applyAlignment="1">
      <alignment horizontal="right" indent="1"/>
    </xf>
    <xf numFmtId="0" fontId="38" fillId="0" borderId="0" xfId="0" applyFont="1"/>
    <xf numFmtId="0" fontId="25" fillId="0" borderId="0" xfId="0" applyFont="1"/>
    <xf numFmtId="0" fontId="21" fillId="0" borderId="0" xfId="0" applyFont="1"/>
    <xf numFmtId="0" fontId="37" fillId="0" borderId="0" xfId="0" applyFont="1"/>
    <xf numFmtId="0" fontId="16" fillId="0" borderId="0" xfId="0" applyFont="1"/>
    <xf numFmtId="0" fontId="0" fillId="7" borderId="1" xfId="0" applyFill="1" applyBorder="1"/>
    <xf numFmtId="0" fontId="20" fillId="7" borderId="1" xfId="0" applyFont="1" applyFill="1" applyBorder="1" applyAlignment="1">
      <alignment horizontal="center"/>
    </xf>
    <xf numFmtId="0" fontId="0" fillId="0" borderId="1" xfId="0" applyBorder="1"/>
    <xf numFmtId="37" fontId="0" fillId="0" borderId="1" xfId="0" applyNumberFormat="1" applyBorder="1"/>
    <xf numFmtId="9" fontId="0" fillId="0" borderId="1" xfId="0" applyNumberFormat="1" applyBorder="1"/>
    <xf numFmtId="5" fontId="0" fillId="0" borderId="1" xfId="0" applyNumberFormat="1" applyBorder="1"/>
    <xf numFmtId="9" fontId="0" fillId="0" borderId="1" xfId="3" applyFont="1" applyBorder="1" applyProtection="1"/>
    <xf numFmtId="0" fontId="0" fillId="7" borderId="9" xfId="0" applyFill="1" applyBorder="1"/>
    <xf numFmtId="0" fontId="20" fillId="7" borderId="16" xfId="0" applyFont="1" applyFill="1" applyBorder="1" applyAlignment="1">
      <alignment horizontal="center"/>
    </xf>
    <xf numFmtId="0" fontId="20" fillId="7" borderId="2" xfId="0" applyFont="1" applyFill="1" applyBorder="1" applyAlignment="1">
      <alignment horizontal="center"/>
    </xf>
    <xf numFmtId="0" fontId="0" fillId="0" borderId="12" xfId="0" applyBorder="1" applyAlignment="1">
      <alignment horizontal="left"/>
    </xf>
    <xf numFmtId="0" fontId="0" fillId="0" borderId="21" xfId="0" applyBorder="1" applyAlignment="1">
      <alignment horizontal="left"/>
    </xf>
    <xf numFmtId="0" fontId="0" fillId="0" borderId="35"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0" fillId="0" borderId="2" xfId="0" applyBorder="1" applyAlignment="1">
      <alignment horizontal="left"/>
    </xf>
    <xf numFmtId="0" fontId="0" fillId="5" borderId="41" xfId="0" applyFill="1" applyBorder="1"/>
    <xf numFmtId="0" fontId="19" fillId="5" borderId="36" xfId="0" applyFont="1" applyFill="1" applyBorder="1"/>
    <xf numFmtId="0" fontId="0" fillId="5" borderId="15" xfId="0" quotePrefix="1" applyFill="1" applyBorder="1" applyAlignment="1">
      <alignment horizontal="center"/>
    </xf>
    <xf numFmtId="2" fontId="0" fillId="5" borderId="15" xfId="0" quotePrefix="1" applyNumberFormat="1" applyFill="1" applyBorder="1" applyAlignment="1">
      <alignment horizontal="center"/>
    </xf>
    <xf numFmtId="39" fontId="0" fillId="5" borderId="4" xfId="0" quotePrefix="1" applyNumberFormat="1" applyFill="1" applyBorder="1" applyAlignment="1">
      <alignment horizontal="center"/>
    </xf>
    <xf numFmtId="0" fontId="0" fillId="0" borderId="0" xfId="0" applyAlignment="1">
      <alignment vertical="center"/>
    </xf>
    <xf numFmtId="0" fontId="0" fillId="0" borderId="0" xfId="0" applyAlignment="1">
      <alignment horizontal="left" vertical="center" wrapText="1"/>
    </xf>
    <xf numFmtId="0" fontId="2" fillId="0" borderId="0" xfId="0" applyFont="1" applyAlignment="1">
      <alignment vertical="center"/>
    </xf>
    <xf numFmtId="0" fontId="0" fillId="0" borderId="0" xfId="0" applyAlignment="1">
      <alignment horizontal="left" vertical="center"/>
    </xf>
    <xf numFmtId="0" fontId="0" fillId="0" borderId="0" xfId="0" applyAlignment="1">
      <alignment horizontal="right" vertical="center"/>
    </xf>
    <xf numFmtId="44" fontId="0" fillId="2" borderId="19" xfId="1" applyNumberFormat="1" applyFont="1" applyFill="1" applyBorder="1" applyProtection="1"/>
    <xf numFmtId="44" fontId="0" fillId="2" borderId="22" xfId="1" applyNumberFormat="1" applyFont="1" applyFill="1" applyBorder="1" applyProtection="1"/>
    <xf numFmtId="44" fontId="0" fillId="2" borderId="3" xfId="1" applyNumberFormat="1" applyFont="1" applyFill="1" applyBorder="1" applyProtection="1"/>
    <xf numFmtId="0" fontId="7" fillId="0" borderId="81" xfId="0" applyFont="1" applyBorder="1" applyAlignment="1">
      <alignment horizontal="left"/>
    </xf>
    <xf numFmtId="0" fontId="7" fillId="0" borderId="40" xfId="0" applyFont="1" applyBorder="1" applyAlignment="1">
      <alignment horizontal="left"/>
    </xf>
    <xf numFmtId="0" fontId="7" fillId="0" borderId="39" xfId="0" applyFont="1" applyBorder="1" applyAlignment="1">
      <alignment horizontal="left"/>
    </xf>
    <xf numFmtId="0" fontId="22" fillId="0" borderId="0" xfId="0" applyFont="1"/>
    <xf numFmtId="0" fontId="18" fillId="0" borderId="0" xfId="0" applyFont="1"/>
    <xf numFmtId="0" fontId="2" fillId="3" borderId="37"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7" xfId="0" applyFont="1" applyFill="1" applyBorder="1" applyAlignment="1">
      <alignment vertical="top" wrapText="1"/>
    </xf>
    <xf numFmtId="0" fontId="2" fillId="0" borderId="0" xfId="0" applyFont="1" applyAlignment="1">
      <alignment horizontal="left" vertical="top" wrapText="1"/>
    </xf>
    <xf numFmtId="0" fontId="3" fillId="0" borderId="0" xfId="0" applyFont="1" applyAlignment="1">
      <alignment vertical="top" wrapText="1"/>
    </xf>
    <xf numFmtId="0" fontId="3" fillId="3" borderId="45" xfId="0" applyFont="1" applyFill="1" applyBorder="1" applyAlignment="1">
      <alignment vertical="top" wrapText="1"/>
    </xf>
    <xf numFmtId="0" fontId="3" fillId="3" borderId="24" xfId="0" applyFont="1" applyFill="1" applyBorder="1" applyAlignment="1">
      <alignment vertical="top" wrapText="1"/>
    </xf>
    <xf numFmtId="0" fontId="2" fillId="3" borderId="24" xfId="0" applyFont="1" applyFill="1" applyBorder="1" applyAlignment="1">
      <alignment wrapText="1"/>
    </xf>
    <xf numFmtId="0" fontId="14" fillId="0" borderId="0" xfId="0" applyFont="1"/>
    <xf numFmtId="0" fontId="0" fillId="3" borderId="8" xfId="0" applyFill="1" applyBorder="1" applyAlignment="1">
      <alignment horizontal="left"/>
    </xf>
    <xf numFmtId="0" fontId="0" fillId="3" borderId="5" xfId="0" applyFill="1" applyBorder="1" applyAlignment="1">
      <alignment horizontal="left"/>
    </xf>
    <xf numFmtId="0" fontId="29" fillId="0" borderId="0" xfId="0" applyFont="1"/>
    <xf numFmtId="164" fontId="0" fillId="5" borderId="79" xfId="0" applyNumberFormat="1" applyFill="1" applyBorder="1"/>
    <xf numFmtId="0" fontId="28" fillId="0" borderId="0" xfId="0" applyFont="1"/>
    <xf numFmtId="0" fontId="4" fillId="0" borderId="0" xfId="0" applyFont="1" applyAlignment="1">
      <alignment wrapText="1"/>
    </xf>
    <xf numFmtId="9" fontId="0" fillId="5" borderId="79" xfId="3" applyFont="1" applyFill="1" applyBorder="1" applyAlignment="1" applyProtection="1">
      <alignment horizontal="right"/>
    </xf>
    <xf numFmtId="37" fontId="0" fillId="5" borderId="79" xfId="0" applyNumberFormat="1" applyFill="1" applyBorder="1" applyAlignment="1">
      <alignment horizontal="right"/>
    </xf>
    <xf numFmtId="0" fontId="30" fillId="0" borderId="0" xfId="0" applyFont="1"/>
    <xf numFmtId="0" fontId="0" fillId="3" borderId="6" xfId="0" applyFill="1" applyBorder="1" applyAlignment="1">
      <alignment horizontal="left"/>
    </xf>
    <xf numFmtId="0" fontId="0" fillId="3" borderId="19" xfId="0" applyFill="1" applyBorder="1" applyAlignment="1">
      <alignment horizontal="left"/>
    </xf>
    <xf numFmtId="0" fontId="3" fillId="0" borderId="0" xfId="0" applyFont="1"/>
    <xf numFmtId="164" fontId="0" fillId="4" borderId="91" xfId="0" applyNumberFormat="1" applyFill="1" applyBorder="1" applyProtection="1">
      <protection locked="0"/>
    </xf>
    <xf numFmtId="14" fontId="0" fillId="0" borderId="97" xfId="0" applyNumberFormat="1" applyBorder="1" applyAlignment="1" applyProtection="1">
      <alignment horizontal="right"/>
      <protection locked="0"/>
    </xf>
    <xf numFmtId="0" fontId="2" fillId="0" borderId="95" xfId="0" applyFont="1" applyBorder="1" applyProtection="1">
      <protection locked="0"/>
    </xf>
    <xf numFmtId="0" fontId="18" fillId="0" borderId="0" xfId="0" quotePrefix="1" applyFont="1" applyAlignment="1">
      <alignment wrapText="1"/>
    </xf>
    <xf numFmtId="0" fontId="2" fillId="0" borderId="0" xfId="0" applyFont="1"/>
    <xf numFmtId="0" fontId="2" fillId="3" borderId="27" xfId="0" applyFont="1" applyFill="1" applyBorder="1" applyAlignment="1">
      <alignment horizontal="left" wrapText="1"/>
    </xf>
    <xf numFmtId="0" fontId="2" fillId="3" borderId="43" xfId="0" applyFont="1" applyFill="1" applyBorder="1" applyAlignment="1">
      <alignment horizontal="left" wrapText="1"/>
    </xf>
    <xf numFmtId="0" fontId="2" fillId="3" borderId="26" xfId="0" applyFont="1" applyFill="1" applyBorder="1" applyAlignment="1">
      <alignment horizontal="left" wrapText="1"/>
    </xf>
    <xf numFmtId="0" fontId="2" fillId="3" borderId="28" xfId="0" applyFont="1" applyFill="1" applyBorder="1" applyAlignment="1">
      <alignment horizontal="left" wrapText="1"/>
    </xf>
    <xf numFmtId="0" fontId="2" fillId="3" borderId="33" xfId="0" applyFont="1" applyFill="1" applyBorder="1" applyAlignment="1">
      <alignment horizontal="left" wrapText="1"/>
    </xf>
    <xf numFmtId="0" fontId="0" fillId="0" borderId="0" xfId="0" applyAlignment="1">
      <alignment wrapText="1"/>
    </xf>
    <xf numFmtId="0" fontId="2" fillId="3" borderId="37" xfId="0" applyFont="1" applyFill="1" applyBorder="1" applyAlignment="1">
      <alignment wrapText="1"/>
    </xf>
    <xf numFmtId="0" fontId="3" fillId="3" borderId="42" xfId="0" applyFont="1" applyFill="1" applyBorder="1" applyAlignment="1">
      <alignment horizontal="left" wrapText="1"/>
    </xf>
    <xf numFmtId="0" fontId="3" fillId="3" borderId="45" xfId="0" applyFont="1" applyFill="1" applyBorder="1" applyAlignment="1">
      <alignment horizontal="left" wrapText="1"/>
    </xf>
    <xf numFmtId="0" fontId="3" fillId="3" borderId="24" xfId="0" applyFont="1" applyFill="1" applyBorder="1" applyAlignment="1">
      <alignment horizontal="left" wrapText="1"/>
    </xf>
    <xf numFmtId="0" fontId="9" fillId="3" borderId="24" xfId="0" applyFont="1" applyFill="1" applyBorder="1" applyAlignment="1">
      <alignment horizontal="center" wrapText="1"/>
    </xf>
    <xf numFmtId="0" fontId="3" fillId="3" borderId="44" xfId="0" applyFont="1" applyFill="1" applyBorder="1" applyAlignment="1">
      <alignment horizontal="left" wrapText="1"/>
    </xf>
    <xf numFmtId="0" fontId="3" fillId="3" borderId="48" xfId="0" applyFont="1" applyFill="1" applyBorder="1" applyAlignment="1">
      <alignment wrapText="1"/>
    </xf>
    <xf numFmtId="0" fontId="3" fillId="3" borderId="25" xfId="0" applyFont="1" applyFill="1" applyBorder="1" applyAlignment="1">
      <alignment horizontal="left" wrapText="1"/>
    </xf>
    <xf numFmtId="0" fontId="3" fillId="3" borderId="34" xfId="0" applyFont="1" applyFill="1" applyBorder="1" applyAlignment="1">
      <alignment horizontal="left" wrapText="1"/>
    </xf>
    <xf numFmtId="0" fontId="3" fillId="3" borderId="23" xfId="0" applyFont="1" applyFill="1" applyBorder="1" applyAlignment="1">
      <alignment horizontal="left" wrapText="1"/>
    </xf>
    <xf numFmtId="0" fontId="3" fillId="0" borderId="0" xfId="0" applyFont="1" applyAlignment="1">
      <alignment wrapText="1"/>
    </xf>
    <xf numFmtId="39" fontId="0" fillId="5" borderId="11" xfId="0" applyNumberFormat="1" applyFill="1" applyBorder="1" applyAlignment="1">
      <alignment horizontal="left"/>
    </xf>
    <xf numFmtId="37" fontId="0" fillId="5" borderId="12" xfId="0" applyNumberFormat="1" applyFill="1" applyBorder="1" applyAlignment="1">
      <alignment horizontal="left"/>
    </xf>
    <xf numFmtId="0" fontId="0" fillId="5" borderId="6" xfId="0" applyFill="1" applyBorder="1" applyAlignment="1">
      <alignment horizontal="left"/>
    </xf>
    <xf numFmtId="39" fontId="0" fillId="5" borderId="47" xfId="0" applyNumberFormat="1" applyFill="1" applyBorder="1" applyAlignment="1">
      <alignment horizontal="left"/>
    </xf>
    <xf numFmtId="166" fontId="0" fillId="5" borderId="35" xfId="0" applyNumberFormat="1" applyFill="1" applyBorder="1" applyAlignment="1">
      <alignment horizontal="left"/>
    </xf>
    <xf numFmtId="39" fontId="0" fillId="5" borderId="22" xfId="0" applyNumberFormat="1" applyFill="1" applyBorder="1" applyAlignment="1">
      <alignment horizontal="left"/>
    </xf>
    <xf numFmtId="166" fontId="0" fillId="5" borderId="14" xfId="0" applyNumberFormat="1" applyFill="1" applyBorder="1" applyAlignment="1">
      <alignment horizontal="left"/>
    </xf>
    <xf numFmtId="0" fontId="0" fillId="5" borderId="6" xfId="0" applyFill="1" applyBorder="1"/>
    <xf numFmtId="39" fontId="0" fillId="5" borderId="49" xfId="0" applyNumberFormat="1" applyFill="1" applyBorder="1" applyAlignment="1">
      <alignment horizontal="left"/>
    </xf>
    <xf numFmtId="37" fontId="0" fillId="5" borderId="96" xfId="0" applyNumberFormat="1" applyFill="1" applyBorder="1" applyAlignment="1">
      <alignment horizontal="left"/>
    </xf>
    <xf numFmtId="0" fontId="0" fillId="3" borderId="28" xfId="0" applyFill="1" applyBorder="1"/>
    <xf numFmtId="0" fontId="0" fillId="5" borderId="1" xfId="0" applyFill="1" applyBorder="1" applyAlignment="1">
      <alignment horizontal="left"/>
    </xf>
    <xf numFmtId="39" fontId="0" fillId="5" borderId="1" xfId="0" applyNumberFormat="1" applyFill="1" applyBorder="1" applyAlignment="1">
      <alignment horizontal="left"/>
    </xf>
    <xf numFmtId="37" fontId="0" fillId="5" borderId="9" xfId="0" applyNumberFormat="1" applyFill="1" applyBorder="1" applyAlignment="1">
      <alignment horizontal="left"/>
    </xf>
    <xf numFmtId="39" fontId="0" fillId="5" borderId="3" xfId="0" applyNumberFormat="1" applyFill="1" applyBorder="1" applyAlignment="1">
      <alignment horizontal="left"/>
    </xf>
    <xf numFmtId="166" fontId="0" fillId="5" borderId="2" xfId="0" applyNumberFormat="1" applyFill="1" applyBorder="1" applyAlignment="1">
      <alignment horizontal="left"/>
    </xf>
    <xf numFmtId="166" fontId="0" fillId="5" borderId="7" xfId="0" applyNumberFormat="1" applyFill="1" applyBorder="1" applyAlignment="1">
      <alignment horizontal="left"/>
    </xf>
    <xf numFmtId="0" fontId="0" fillId="5" borderId="7" xfId="0" applyFill="1" applyBorder="1"/>
    <xf numFmtId="0" fontId="0" fillId="3" borderId="30" xfId="0" applyFill="1" applyBorder="1"/>
    <xf numFmtId="0" fontId="0" fillId="5" borderId="13" xfId="0" applyFill="1" applyBorder="1" applyAlignment="1">
      <alignment horizontal="left"/>
    </xf>
    <xf numFmtId="0" fontId="0" fillId="5" borderId="10" xfId="0" applyFill="1" applyBorder="1" applyAlignment="1">
      <alignment horizontal="left"/>
    </xf>
    <xf numFmtId="39" fontId="0" fillId="5" borderId="10" xfId="0" applyNumberFormat="1" applyFill="1" applyBorder="1" applyAlignment="1">
      <alignment horizontal="left"/>
    </xf>
    <xf numFmtId="37" fontId="0" fillId="5" borderId="46" xfId="0" applyNumberFormat="1" applyFill="1" applyBorder="1" applyAlignment="1">
      <alignment horizontal="left"/>
    </xf>
    <xf numFmtId="39" fontId="2" fillId="5" borderId="4" xfId="0" applyNumberFormat="1" applyFont="1" applyFill="1" applyBorder="1" applyAlignment="1">
      <alignment horizontal="left"/>
    </xf>
    <xf numFmtId="7" fontId="2" fillId="5" borderId="4" xfId="0" applyNumberFormat="1" applyFont="1" applyFill="1" applyBorder="1" applyAlignment="1">
      <alignment horizontal="left"/>
    </xf>
    <xf numFmtId="3" fontId="17" fillId="5" borderId="15" xfId="1" applyNumberFormat="1" applyFont="1" applyFill="1" applyBorder="1" applyAlignment="1" applyProtection="1">
      <alignment horizontal="left"/>
    </xf>
    <xf numFmtId="7" fontId="2" fillId="5" borderId="8" xfId="0" applyNumberFormat="1" applyFont="1" applyFill="1" applyBorder="1" applyAlignment="1">
      <alignment horizontal="left"/>
    </xf>
    <xf numFmtId="39" fontId="2" fillId="5" borderId="5" xfId="0" applyNumberFormat="1" applyFont="1" applyFill="1" applyBorder="1" applyAlignment="1">
      <alignment horizontal="left"/>
    </xf>
    <xf numFmtId="7" fontId="2" fillId="5" borderId="36" xfId="0" applyNumberFormat="1" applyFont="1" applyFill="1" applyBorder="1" applyAlignment="1">
      <alignment horizontal="left"/>
    </xf>
    <xf numFmtId="0" fontId="2" fillId="5" borderId="8" xfId="0" applyFont="1" applyFill="1" applyBorder="1"/>
    <xf numFmtId="9" fontId="2" fillId="3" borderId="25" xfId="3" applyFont="1" applyFill="1" applyBorder="1" applyAlignment="1" applyProtection="1">
      <alignment horizontal="center"/>
    </xf>
    <xf numFmtId="0" fontId="38" fillId="5" borderId="8" xfId="0" applyFont="1" applyFill="1" applyBorder="1" applyAlignment="1">
      <alignment horizontal="left"/>
    </xf>
    <xf numFmtId="0" fontId="38" fillId="5" borderId="4" xfId="0" applyFont="1" applyFill="1" applyBorder="1" applyAlignment="1">
      <alignment horizontal="left"/>
    </xf>
    <xf numFmtId="39" fontId="38" fillId="5" borderId="4" xfId="0" applyNumberFormat="1" applyFont="1" applyFill="1" applyBorder="1" applyAlignment="1">
      <alignment horizontal="left"/>
    </xf>
    <xf numFmtId="7" fontId="38" fillId="5" borderId="4" xfId="0" applyNumberFormat="1" applyFont="1" applyFill="1" applyBorder="1" applyAlignment="1">
      <alignment horizontal="left"/>
    </xf>
    <xf numFmtId="3" fontId="39" fillId="5" borderId="15" xfId="1" applyNumberFormat="1" applyFont="1" applyFill="1" applyBorder="1" applyAlignment="1" applyProtection="1">
      <alignment horizontal="left"/>
    </xf>
    <xf numFmtId="7" fontId="38" fillId="5" borderId="8" xfId="0" applyNumberFormat="1" applyFont="1" applyFill="1" applyBorder="1" applyAlignment="1">
      <alignment horizontal="left"/>
    </xf>
    <xf numFmtId="39" fontId="38" fillId="5" borderId="5" xfId="0" applyNumberFormat="1" applyFont="1" applyFill="1" applyBorder="1" applyAlignment="1">
      <alignment horizontal="left"/>
    </xf>
    <xf numFmtId="7" fontId="38" fillId="5" borderId="36" xfId="0" applyNumberFormat="1" applyFont="1" applyFill="1" applyBorder="1" applyAlignment="1">
      <alignment horizontal="left"/>
    </xf>
    <xf numFmtId="7" fontId="38" fillId="0" borderId="0" xfId="0" applyNumberFormat="1" applyFont="1" applyAlignment="1">
      <alignment horizontal="left"/>
    </xf>
    <xf numFmtId="9" fontId="2" fillId="0" borderId="0" xfId="3" applyFont="1" applyProtection="1"/>
    <xf numFmtId="0" fontId="2" fillId="3" borderId="17" xfId="0" applyFont="1" applyFill="1" applyBorder="1"/>
    <xf numFmtId="0" fontId="2" fillId="3" borderId="20" xfId="0" applyFont="1" applyFill="1" applyBorder="1"/>
    <xf numFmtId="7" fontId="0" fillId="0" borderId="0" xfId="0" applyNumberFormat="1" applyAlignment="1">
      <alignment horizontal="left"/>
    </xf>
    <xf numFmtId="0" fontId="2" fillId="3" borderId="38" xfId="2" applyNumberFormat="1" applyFont="1" applyFill="1" applyBorder="1" applyAlignment="1" applyProtection="1">
      <alignment wrapText="1"/>
    </xf>
    <xf numFmtId="0" fontId="2" fillId="3" borderId="27" xfId="1" applyNumberFormat="1" applyFont="1" applyFill="1" applyBorder="1" applyAlignment="1" applyProtection="1">
      <alignment wrapText="1"/>
    </xf>
    <xf numFmtId="0" fontId="2" fillId="3" borderId="33" xfId="0" applyFont="1" applyFill="1" applyBorder="1" applyAlignment="1">
      <alignment wrapText="1"/>
    </xf>
    <xf numFmtId="0" fontId="2" fillId="3" borderId="27" xfId="0" applyFont="1" applyFill="1" applyBorder="1" applyAlignment="1">
      <alignment wrapText="1"/>
    </xf>
    <xf numFmtId="0" fontId="17" fillId="3" borderId="27" xfId="0" applyFont="1" applyFill="1" applyBorder="1" applyAlignment="1">
      <alignment wrapText="1"/>
    </xf>
    <xf numFmtId="0" fontId="17" fillId="3" borderId="27" xfId="2" applyNumberFormat="1" applyFont="1" applyFill="1" applyBorder="1" applyAlignment="1" applyProtection="1">
      <alignment wrapText="1"/>
    </xf>
    <xf numFmtId="0" fontId="2" fillId="3" borderId="27" xfId="2" applyNumberFormat="1" applyFont="1" applyFill="1" applyBorder="1" applyAlignment="1" applyProtection="1">
      <alignment wrapText="1"/>
    </xf>
    <xf numFmtId="0" fontId="2" fillId="3" borderId="28" xfId="2" applyNumberFormat="1" applyFont="1" applyFill="1" applyBorder="1" applyAlignment="1" applyProtection="1">
      <alignment wrapText="1"/>
    </xf>
    <xf numFmtId="0" fontId="3" fillId="3" borderId="45" xfId="2" applyNumberFormat="1" applyFont="1" applyFill="1" applyBorder="1" applyAlignment="1" applyProtection="1">
      <alignment wrapText="1"/>
    </xf>
    <xf numFmtId="0" fontId="2" fillId="3" borderId="73" xfId="1" applyNumberFormat="1" applyFont="1" applyFill="1" applyBorder="1" applyAlignment="1" applyProtection="1">
      <alignment wrapText="1"/>
    </xf>
    <xf numFmtId="0" fontId="3" fillId="3" borderId="34" xfId="0" applyFont="1" applyFill="1" applyBorder="1" applyAlignment="1">
      <alignment horizontal="left" vertical="top" wrapText="1"/>
    </xf>
    <xf numFmtId="0" fontId="3" fillId="3" borderId="24" xfId="0" applyFont="1" applyFill="1" applyBorder="1" applyAlignment="1">
      <alignment horizontal="left" vertical="top" wrapText="1"/>
    </xf>
    <xf numFmtId="0" fontId="3" fillId="3" borderId="24" xfId="2" applyNumberFormat="1" applyFont="1" applyFill="1" applyBorder="1" applyAlignment="1" applyProtection="1">
      <alignment wrapText="1"/>
    </xf>
    <xf numFmtId="0" fontId="3" fillId="3" borderId="25" xfId="2" applyNumberFormat="1" applyFont="1" applyFill="1" applyBorder="1" applyAlignment="1" applyProtection="1">
      <alignment horizontal="left" vertical="top" wrapText="1"/>
    </xf>
    <xf numFmtId="44" fontId="0" fillId="5" borderId="20" xfId="2" applyFont="1" applyFill="1" applyBorder="1" applyAlignment="1" applyProtection="1">
      <alignment wrapText="1"/>
    </xf>
    <xf numFmtId="0" fontId="2" fillId="3" borderId="24" xfId="1" applyNumberFormat="1" applyFont="1" applyFill="1" applyBorder="1" applyAlignment="1" applyProtection="1">
      <alignment wrapText="1"/>
    </xf>
    <xf numFmtId="165" fontId="0" fillId="5" borderId="94" xfId="1" applyNumberFormat="1" applyFont="1" applyFill="1" applyBorder="1" applyAlignment="1" applyProtection="1">
      <alignment wrapText="1"/>
    </xf>
    <xf numFmtId="44" fontId="0" fillId="5" borderId="94" xfId="2" applyFont="1" applyFill="1" applyBorder="1" applyAlignment="1" applyProtection="1">
      <alignment wrapText="1"/>
    </xf>
    <xf numFmtId="0" fontId="2" fillId="4" borderId="0" xfId="0" applyFont="1" applyFill="1"/>
    <xf numFmtId="0" fontId="2" fillId="4" borderId="0" xfId="0" applyFont="1" applyFill="1" applyAlignment="1">
      <alignment horizontal="left"/>
    </xf>
    <xf numFmtId="37" fontId="0" fillId="4" borderId="0" xfId="0" applyNumberFormat="1" applyFill="1" applyAlignment="1">
      <alignment horizontal="left"/>
    </xf>
    <xf numFmtId="0" fontId="0" fillId="0" borderId="0" xfId="0" applyAlignment="1">
      <alignment horizontal="left"/>
    </xf>
    <xf numFmtId="0" fontId="2" fillId="3" borderId="38" xfId="0" applyFont="1" applyFill="1" applyBorder="1"/>
    <xf numFmtId="0" fontId="2" fillId="3" borderId="43" xfId="1" applyNumberFormat="1" applyFont="1" applyFill="1" applyBorder="1" applyAlignment="1" applyProtection="1">
      <alignment wrapText="1"/>
    </xf>
    <xf numFmtId="0" fontId="3" fillId="3" borderId="45" xfId="0" applyFont="1" applyFill="1" applyBorder="1"/>
    <xf numFmtId="0" fontId="3" fillId="3" borderId="44" xfId="1" applyNumberFormat="1" applyFont="1" applyFill="1" applyBorder="1" applyAlignment="1" applyProtection="1">
      <alignment wrapText="1"/>
    </xf>
    <xf numFmtId="0" fontId="8" fillId="5" borderId="39" xfId="0" applyFont="1" applyFill="1" applyBorder="1" applyAlignment="1">
      <alignment horizontal="left"/>
    </xf>
    <xf numFmtId="0" fontId="0" fillId="5" borderId="21" xfId="0" applyFill="1" applyBorder="1" applyAlignment="1">
      <alignment horizontal="left"/>
    </xf>
    <xf numFmtId="0" fontId="0" fillId="5" borderId="35" xfId="0" applyFill="1" applyBorder="1" applyAlignment="1">
      <alignment horizontal="left"/>
    </xf>
    <xf numFmtId="0" fontId="0" fillId="5" borderId="12" xfId="0" applyFill="1" applyBorder="1" applyAlignment="1">
      <alignment horizontal="left"/>
    </xf>
    <xf numFmtId="44" fontId="0" fillId="5" borderId="35" xfId="2" applyFont="1" applyFill="1" applyBorder="1" applyAlignment="1" applyProtection="1">
      <alignment horizontal="left"/>
    </xf>
    <xf numFmtId="44" fontId="0" fillId="5" borderId="11" xfId="2" applyFont="1" applyFill="1" applyBorder="1" applyAlignment="1" applyProtection="1">
      <alignment wrapText="1"/>
    </xf>
    <xf numFmtId="168" fontId="0" fillId="5" borderId="35" xfId="1" applyNumberFormat="1" applyFont="1" applyFill="1" applyBorder="1" applyAlignment="1" applyProtection="1">
      <alignment horizontal="left"/>
    </xf>
    <xf numFmtId="165" fontId="0" fillId="5" borderId="11" xfId="1" applyNumberFormat="1" applyFont="1" applyFill="1" applyBorder="1" applyAlignment="1" applyProtection="1">
      <alignment wrapText="1"/>
    </xf>
    <xf numFmtId="9" fontId="0" fillId="0" borderId="0" xfId="3" applyFont="1" applyProtection="1"/>
    <xf numFmtId="43" fontId="0" fillId="0" borderId="0" xfId="0" applyNumberFormat="1"/>
    <xf numFmtId="165" fontId="0" fillId="0" borderId="0" xfId="0" applyNumberFormat="1"/>
    <xf numFmtId="0" fontId="8" fillId="5" borderId="40" xfId="0" applyFont="1" applyFill="1" applyBorder="1" applyAlignment="1">
      <alignment horizontal="left"/>
    </xf>
    <xf numFmtId="0" fontId="0" fillId="5" borderId="16" xfId="0" applyFill="1" applyBorder="1" applyAlignment="1">
      <alignment horizontal="left"/>
    </xf>
    <xf numFmtId="0" fontId="0" fillId="5" borderId="2" xfId="0" applyFill="1" applyBorder="1" applyAlignment="1">
      <alignment horizontal="left"/>
    </xf>
    <xf numFmtId="44" fontId="0" fillId="5" borderId="1" xfId="2" applyFont="1" applyFill="1" applyBorder="1" applyAlignment="1" applyProtection="1">
      <alignment wrapText="1"/>
    </xf>
    <xf numFmtId="0" fontId="3" fillId="5" borderId="42" xfId="0" applyFont="1" applyFill="1" applyBorder="1"/>
    <xf numFmtId="0" fontId="26" fillId="5" borderId="45" xfId="0" applyFont="1" applyFill="1" applyBorder="1" applyAlignment="1">
      <alignment horizontal="left"/>
    </xf>
    <xf numFmtId="0" fontId="9" fillId="5" borderId="36" xfId="0" applyFont="1" applyFill="1" applyBorder="1" applyAlignment="1">
      <alignment horizontal="left"/>
    </xf>
    <xf numFmtId="0" fontId="0" fillId="5" borderId="82" xfId="0" applyFill="1" applyBorder="1" applyAlignment="1">
      <alignment horizontal="left"/>
    </xf>
    <xf numFmtId="0" fontId="0" fillId="5" borderId="36" xfId="0" applyFill="1" applyBorder="1" applyAlignment="1">
      <alignment horizontal="left"/>
    </xf>
    <xf numFmtId="164" fontId="2" fillId="5" borderId="34" xfId="2" applyNumberFormat="1" applyFont="1" applyFill="1" applyBorder="1" applyAlignment="1" applyProtection="1">
      <alignment wrapText="1"/>
    </xf>
    <xf numFmtId="44" fontId="2" fillId="5" borderId="24" xfId="2" applyFont="1" applyFill="1" applyBorder="1" applyAlignment="1" applyProtection="1">
      <alignment wrapText="1"/>
    </xf>
    <xf numFmtId="168" fontId="2" fillId="5" borderId="36" xfId="1" applyNumberFormat="1" applyFont="1" applyFill="1" applyBorder="1" applyAlignment="1" applyProtection="1">
      <alignment horizontal="right"/>
    </xf>
    <xf numFmtId="165" fontId="2" fillId="5" borderId="24" xfId="0" applyNumberFormat="1" applyFont="1" applyFill="1" applyBorder="1" applyAlignment="1">
      <alignment wrapText="1"/>
    </xf>
    <xf numFmtId="37" fontId="2" fillId="5" borderId="24" xfId="2" applyNumberFormat="1" applyFont="1" applyFill="1" applyBorder="1" applyAlignment="1" applyProtection="1">
      <alignment wrapText="1"/>
    </xf>
    <xf numFmtId="44" fontId="2" fillId="5" borderId="5" xfId="2" applyFont="1" applyFill="1" applyBorder="1" applyAlignment="1" applyProtection="1">
      <alignment wrapText="1"/>
    </xf>
    <xf numFmtId="164" fontId="0" fillId="0" borderId="0" xfId="2" applyNumberFormat="1" applyFont="1" applyFill="1" applyBorder="1" applyAlignment="1" applyProtection="1">
      <alignment wrapText="1"/>
    </xf>
    <xf numFmtId="43" fontId="0" fillId="0" borderId="0" xfId="1" applyFont="1" applyFill="1" applyBorder="1" applyAlignment="1" applyProtection="1">
      <alignment wrapText="1"/>
    </xf>
    <xf numFmtId="0" fontId="2" fillId="0" borderId="0" xfId="0" applyFont="1" applyAlignment="1">
      <alignment horizontal="right"/>
    </xf>
    <xf numFmtId="44" fontId="0" fillId="0" borderId="0" xfId="2" applyFont="1" applyFill="1" applyProtection="1"/>
    <xf numFmtId="170" fontId="0" fillId="0" borderId="0" xfId="0" applyNumberFormat="1" applyAlignment="1">
      <alignment horizontal="left" vertical="center"/>
    </xf>
    <xf numFmtId="0" fontId="15" fillId="0" borderId="0" xfId="4" applyAlignment="1" applyProtection="1">
      <alignment horizontal="left" vertical="center"/>
    </xf>
    <xf numFmtId="0" fontId="0" fillId="0" borderId="0" xfId="0" applyProtection="1">
      <protection locked="0"/>
    </xf>
    <xf numFmtId="7" fontId="0" fillId="0" borderId="0" xfId="0" applyNumberFormat="1"/>
    <xf numFmtId="5" fontId="0" fillId="0" borderId="0" xfId="0" applyNumberFormat="1"/>
    <xf numFmtId="0" fontId="2" fillId="3" borderId="83" xfId="0" applyFont="1" applyFill="1" applyBorder="1" applyAlignment="1">
      <alignment horizontal="left" vertical="center" wrapText="1"/>
    </xf>
    <xf numFmtId="0" fontId="2" fillId="3" borderId="30" xfId="0" applyFont="1" applyFill="1" applyBorder="1" applyAlignment="1">
      <alignment wrapText="1"/>
    </xf>
    <xf numFmtId="0" fontId="2" fillId="3" borderId="32" xfId="0" applyFont="1" applyFill="1" applyBorder="1" applyAlignment="1">
      <alignment wrapText="1"/>
    </xf>
    <xf numFmtId="0" fontId="2" fillId="3" borderId="83" xfId="0" applyFont="1" applyFill="1" applyBorder="1" applyAlignment="1">
      <alignment horizontal="left"/>
    </xf>
    <xf numFmtId="0" fontId="2" fillId="3" borderId="83" xfId="0" applyFont="1" applyFill="1" applyBorder="1" applyAlignment="1">
      <alignment horizontal="center"/>
    </xf>
    <xf numFmtId="0" fontId="3" fillId="0" borderId="0" xfId="0" applyFont="1" applyAlignment="1">
      <alignment vertical="top"/>
    </xf>
    <xf numFmtId="0" fontId="3" fillId="3" borderId="39" xfId="0" applyFont="1" applyFill="1" applyBorder="1" applyAlignment="1">
      <alignment horizontal="left" vertical="top" wrapText="1"/>
    </xf>
    <xf numFmtId="0" fontId="3" fillId="3" borderId="3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22" xfId="0" applyFont="1" applyFill="1" applyBorder="1" applyAlignment="1">
      <alignment horizontal="left" vertical="top" wrapText="1"/>
    </xf>
    <xf numFmtId="0" fontId="9" fillId="5" borderId="1" xfId="0" applyFont="1" applyFill="1" applyBorder="1" applyAlignment="1">
      <alignment horizontal="center"/>
    </xf>
    <xf numFmtId="37" fontId="0" fillId="5" borderId="1" xfId="0" applyNumberFormat="1" applyFill="1" applyBorder="1" applyAlignment="1">
      <alignment horizontal="center"/>
    </xf>
    <xf numFmtId="37" fontId="4" fillId="5" borderId="1" xfId="0" applyNumberFormat="1" applyFont="1" applyFill="1" applyBorder="1" applyAlignment="1">
      <alignment horizontal="center"/>
    </xf>
    <xf numFmtId="37" fontId="4" fillId="5" borderId="79" xfId="0" applyNumberFormat="1" applyFont="1" applyFill="1" applyBorder="1" applyAlignment="1">
      <alignment horizontal="center"/>
    </xf>
    <xf numFmtId="0" fontId="0" fillId="5" borderId="40" xfId="0" applyFill="1" applyBorder="1" applyAlignment="1">
      <alignment horizontal="left"/>
    </xf>
    <xf numFmtId="0" fontId="0" fillId="5" borderId="40" xfId="0" applyFill="1" applyBorder="1"/>
    <xf numFmtId="167" fontId="0" fillId="5" borderId="2" xfId="0" applyNumberFormat="1" applyFill="1" applyBorder="1"/>
    <xf numFmtId="0" fontId="0" fillId="5" borderId="1" xfId="0" applyFill="1" applyBorder="1" applyAlignment="1">
      <alignment horizontal="left" vertical="center"/>
    </xf>
    <xf numFmtId="0" fontId="0" fillId="5" borderId="13" xfId="0" applyFill="1" applyBorder="1"/>
    <xf numFmtId="0" fontId="9" fillId="5" borderId="10" xfId="0" applyFont="1" applyFill="1" applyBorder="1" applyAlignment="1">
      <alignment horizontal="center"/>
    </xf>
    <xf numFmtId="5" fontId="0" fillId="5" borderId="10" xfId="0" applyNumberFormat="1" applyFill="1" applyBorder="1" applyAlignment="1">
      <alignment horizontal="center"/>
    </xf>
    <xf numFmtId="5" fontId="0" fillId="5" borderId="29" xfId="0" applyNumberFormat="1" applyFill="1" applyBorder="1" applyAlignment="1">
      <alignment horizontal="center"/>
    </xf>
    <xf numFmtId="0" fontId="0" fillId="5" borderId="40" xfId="0" applyFill="1" applyBorder="1" applyAlignment="1">
      <alignment vertical="center"/>
    </xf>
    <xf numFmtId="167" fontId="0" fillId="5" borderId="2" xfId="0" applyNumberFormat="1" applyFill="1" applyBorder="1" applyAlignment="1">
      <alignment vertical="center"/>
    </xf>
    <xf numFmtId="0" fontId="4" fillId="5" borderId="14" xfId="0" applyFont="1" applyFill="1" applyBorder="1"/>
    <xf numFmtId="0" fontId="9" fillId="5" borderId="11" xfId="0" applyFont="1" applyFill="1" applyBorder="1" applyAlignment="1">
      <alignment horizontal="center"/>
    </xf>
    <xf numFmtId="37" fontId="0" fillId="5" borderId="11" xfId="0" applyNumberFormat="1" applyFill="1" applyBorder="1" applyAlignment="1">
      <alignment horizontal="center"/>
    </xf>
    <xf numFmtId="37" fontId="0" fillId="5" borderId="47" xfId="0" applyNumberFormat="1" applyFill="1" applyBorder="1" applyAlignment="1">
      <alignment horizontal="center"/>
    </xf>
    <xf numFmtId="0" fontId="4" fillId="5" borderId="7" xfId="0" applyFont="1" applyFill="1" applyBorder="1"/>
    <xf numFmtId="167" fontId="0" fillId="5" borderId="1" xfId="0" applyNumberFormat="1" applyFill="1" applyBorder="1" applyAlignment="1">
      <alignment horizontal="center"/>
    </xf>
    <xf numFmtId="167" fontId="0" fillId="5" borderId="79" xfId="0" applyNumberFormat="1" applyFill="1" applyBorder="1" applyAlignment="1">
      <alignment horizontal="center"/>
    </xf>
    <xf numFmtId="37" fontId="0" fillId="5" borderId="3" xfId="0" applyNumberFormat="1" applyFill="1" applyBorder="1" applyAlignment="1">
      <alignment horizontal="center"/>
    </xf>
    <xf numFmtId="0" fontId="3" fillId="5" borderId="1" xfId="0" applyFont="1" applyFill="1" applyBorder="1" applyAlignment="1">
      <alignment horizontal="center"/>
    </xf>
    <xf numFmtId="5" fontId="0" fillId="5" borderId="1" xfId="0" applyNumberFormat="1" applyFill="1" applyBorder="1" applyAlignment="1">
      <alignment horizontal="center"/>
    </xf>
    <xf numFmtId="5" fontId="0" fillId="5" borderId="5" xfId="0" applyNumberFormat="1" applyFill="1" applyBorder="1" applyAlignment="1">
      <alignment horizontal="center"/>
    </xf>
    <xf numFmtId="37" fontId="0" fillId="5" borderId="22" xfId="0" applyNumberFormat="1" applyFill="1" applyBorder="1" applyAlignment="1">
      <alignment horizontal="center"/>
    </xf>
    <xf numFmtId="0" fontId="4" fillId="5" borderId="48" xfId="0" applyFont="1" applyFill="1" applyBorder="1"/>
    <xf numFmtId="0" fontId="4" fillId="5" borderId="13" xfId="0" applyFont="1" applyFill="1" applyBorder="1"/>
    <xf numFmtId="0" fontId="3" fillId="5" borderId="10" xfId="0" applyFont="1" applyFill="1" applyBorder="1" applyAlignment="1">
      <alignment horizontal="center"/>
    </xf>
    <xf numFmtId="0" fontId="17" fillId="5" borderId="83" xfId="0" applyFont="1" applyFill="1" applyBorder="1"/>
    <xf numFmtId="0" fontId="19" fillId="5" borderId="83" xfId="0" applyFont="1" applyFill="1" applyBorder="1" applyAlignment="1">
      <alignment horizontal="center"/>
    </xf>
    <xf numFmtId="5" fontId="2" fillId="5" borderId="83" xfId="0" applyNumberFormat="1" applyFont="1" applyFill="1" applyBorder="1" applyAlignment="1">
      <alignment horizontal="center"/>
    </xf>
    <xf numFmtId="0" fontId="2" fillId="0" borderId="0" xfId="0" applyFont="1" applyAlignment="1">
      <alignment horizontal="left" vertical="center"/>
    </xf>
    <xf numFmtId="0" fontId="15" fillId="0" borderId="0" xfId="4" applyFill="1" applyAlignment="1" applyProtection="1">
      <alignment horizontal="left" vertical="center"/>
    </xf>
    <xf numFmtId="0" fontId="2" fillId="5" borderId="41" xfId="0" applyFont="1" applyFill="1" applyBorder="1" applyAlignment="1">
      <alignment horizontal="left"/>
    </xf>
    <xf numFmtId="0" fontId="2" fillId="5" borderId="36" xfId="0" applyFont="1" applyFill="1" applyBorder="1" applyAlignment="1">
      <alignment horizontal="left"/>
    </xf>
    <xf numFmtId="37" fontId="2" fillId="5" borderId="15" xfId="0" applyNumberFormat="1" applyFont="1" applyFill="1" applyBorder="1" applyAlignment="1">
      <alignment horizontal="left"/>
    </xf>
    <xf numFmtId="0" fontId="2" fillId="0" borderId="21" xfId="0" applyFont="1" applyBorder="1"/>
    <xf numFmtId="0" fontId="2" fillId="0" borderId="0" xfId="0" applyFont="1" applyAlignment="1">
      <alignment horizontal="center"/>
    </xf>
    <xf numFmtId="37" fontId="0" fillId="0" borderId="0" xfId="0" applyNumberFormat="1" applyAlignment="1">
      <alignment horizontal="right"/>
    </xf>
    <xf numFmtId="37" fontId="0" fillId="2" borderId="1" xfId="0" applyNumberFormat="1" applyFill="1" applyBorder="1" applyAlignment="1">
      <alignment horizontal="center"/>
    </xf>
    <xf numFmtId="0" fontId="0" fillId="0" borderId="0" xfId="0" quotePrefix="1"/>
    <xf numFmtId="165" fontId="0" fillId="0" borderId="0" xfId="1" applyNumberFormat="1" applyFont="1" applyProtection="1"/>
    <xf numFmtId="0" fontId="40" fillId="9" borderId="84" xfId="0" applyFont="1" applyFill="1" applyBorder="1"/>
    <xf numFmtId="165" fontId="0" fillId="0" borderId="0" xfId="1" applyNumberFormat="1" applyFont="1" applyFill="1" applyBorder="1" applyProtection="1"/>
    <xf numFmtId="0" fontId="0" fillId="0" borderId="84" xfId="0" applyBorder="1"/>
    <xf numFmtId="0" fontId="5" fillId="0" borderId="11" xfId="0" applyFont="1" applyBorder="1"/>
    <xf numFmtId="0" fontId="5" fillId="0" borderId="0" xfId="0" applyFont="1"/>
    <xf numFmtId="0" fontId="5" fillId="0" borderId="0" xfId="0" applyFont="1" applyAlignment="1">
      <alignment vertical="center"/>
    </xf>
    <xf numFmtId="49" fontId="4" fillId="0" borderId="0" xfId="0" applyNumberFormat="1" applyFont="1" applyAlignment="1">
      <alignment horizontal="left"/>
    </xf>
    <xf numFmtId="0" fontId="0" fillId="0" borderId="0" xfId="0" quotePrefix="1" applyAlignment="1">
      <alignment horizontal="left" vertical="center" wrapText="1"/>
    </xf>
    <xf numFmtId="0" fontId="4" fillId="0" borderId="0" xfId="0" applyFont="1" applyAlignment="1">
      <alignment horizontal="left" vertical="center" wrapText="1"/>
    </xf>
    <xf numFmtId="0" fontId="15" fillId="0" borderId="0" xfId="4" applyAlignment="1" applyProtection="1">
      <alignment horizontal="left" vertical="center" wrapText="1"/>
    </xf>
    <xf numFmtId="0" fontId="17" fillId="3" borderId="70" xfId="0" applyFont="1" applyFill="1" applyBorder="1" applyAlignment="1">
      <alignment horizontal="center" vertical="center"/>
    </xf>
    <xf numFmtId="0" fontId="17" fillId="3" borderId="71" xfId="0" applyFont="1" applyFill="1" applyBorder="1" applyAlignment="1">
      <alignment horizontal="center" vertical="center"/>
    </xf>
    <xf numFmtId="0" fontId="17" fillId="3" borderId="72" xfId="0" applyFont="1" applyFill="1" applyBorder="1" applyAlignment="1">
      <alignment horizontal="center" vertical="center"/>
    </xf>
    <xf numFmtId="0" fontId="4" fillId="4" borderId="62" xfId="0" applyFont="1" applyFill="1" applyBorder="1" applyAlignment="1" applyProtection="1">
      <alignment horizontal="left"/>
      <protection locked="0"/>
    </xf>
    <xf numFmtId="0" fontId="4" fillId="4" borderId="74" xfId="0" applyFont="1" applyFill="1" applyBorder="1" applyAlignment="1" applyProtection="1">
      <alignment horizontal="left"/>
      <protection locked="0"/>
    </xf>
    <xf numFmtId="0" fontId="4" fillId="4" borderId="51" xfId="0" applyFont="1" applyFill="1" applyBorder="1" applyAlignment="1" applyProtection="1">
      <alignment horizontal="left"/>
      <protection locked="0"/>
    </xf>
    <xf numFmtId="0" fontId="4" fillId="4" borderId="54" xfId="0" applyFont="1" applyFill="1" applyBorder="1" applyAlignment="1" applyProtection="1">
      <alignment horizontal="left"/>
      <protection locked="0"/>
    </xf>
    <xf numFmtId="0" fontId="4" fillId="4" borderId="56" xfId="0" applyFont="1" applyFill="1" applyBorder="1" applyAlignment="1" applyProtection="1">
      <alignment horizontal="left"/>
      <protection locked="0"/>
    </xf>
    <xf numFmtId="0" fontId="4" fillId="4" borderId="57" xfId="0" applyFont="1" applyFill="1" applyBorder="1" applyAlignment="1" applyProtection="1">
      <alignment horizontal="left"/>
      <protection locked="0"/>
    </xf>
    <xf numFmtId="0" fontId="17" fillId="3" borderId="42"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75" xfId="0" applyFont="1" applyFill="1" applyBorder="1" applyAlignment="1">
      <alignment horizontal="center" vertical="center"/>
    </xf>
    <xf numFmtId="0" fontId="17" fillId="3" borderId="85" xfId="0" applyFont="1" applyFill="1" applyBorder="1" applyAlignment="1">
      <alignment horizontal="center" vertical="center"/>
    </xf>
    <xf numFmtId="0" fontId="17" fillId="3" borderId="86" xfId="0" applyFont="1" applyFill="1" applyBorder="1" applyAlignment="1">
      <alignment horizontal="center" vertical="center"/>
    </xf>
    <xf numFmtId="0" fontId="17" fillId="3" borderId="87" xfId="0" applyFont="1" applyFill="1" applyBorder="1" applyAlignment="1">
      <alignment horizontal="center" vertical="center"/>
    </xf>
    <xf numFmtId="0" fontId="17" fillId="3" borderId="8" xfId="0" applyFont="1" applyFill="1" applyBorder="1" applyAlignment="1">
      <alignment horizontal="left" indent="1"/>
    </xf>
    <xf numFmtId="0" fontId="17" fillId="3" borderId="4" xfId="0" applyFont="1" applyFill="1" applyBorder="1" applyAlignment="1">
      <alignment horizontal="left" indent="1"/>
    </xf>
    <xf numFmtId="0" fontId="17" fillId="3" borderId="7" xfId="0" applyFont="1" applyFill="1" applyBorder="1" applyAlignment="1">
      <alignment horizontal="left" indent="1"/>
    </xf>
    <xf numFmtId="0" fontId="17" fillId="3" borderId="1" xfId="0" applyFont="1" applyFill="1" applyBorder="1" applyAlignment="1">
      <alignment horizontal="left" indent="1"/>
    </xf>
    <xf numFmtId="0" fontId="17" fillId="3" borderId="37" xfId="0" applyFont="1" applyFill="1" applyBorder="1" applyAlignment="1">
      <alignment horizontal="left"/>
    </xf>
    <xf numFmtId="0" fontId="17" fillId="3" borderId="38" xfId="0" applyFont="1" applyFill="1" applyBorder="1" applyAlignment="1">
      <alignment horizontal="left"/>
    </xf>
    <xf numFmtId="0" fontId="17" fillId="3" borderId="76" xfId="0" applyFont="1" applyFill="1" applyBorder="1" applyAlignment="1">
      <alignment horizontal="left"/>
    </xf>
    <xf numFmtId="0" fontId="0" fillId="0" borderId="31" xfId="0" quotePrefix="1" applyBorder="1" applyAlignment="1">
      <alignment horizontal="left" vertical="top" wrapText="1"/>
    </xf>
    <xf numFmtId="0" fontId="0" fillId="0" borderId="0" xfId="0" quotePrefix="1" applyAlignment="1">
      <alignment horizontal="left" vertical="top" wrapText="1"/>
    </xf>
    <xf numFmtId="0" fontId="36" fillId="6" borderId="1" xfId="0" applyFont="1" applyFill="1" applyBorder="1" applyAlignment="1">
      <alignment horizontal="center" vertical="center" wrapText="1"/>
    </xf>
    <xf numFmtId="0" fontId="36" fillId="6" borderId="10" xfId="0" applyFont="1" applyFill="1" applyBorder="1" applyAlignment="1">
      <alignment horizontal="center" vertical="center" wrapText="1"/>
    </xf>
    <xf numFmtId="0" fontId="42" fillId="0" borderId="0" xfId="0" applyFont="1" applyAlignment="1">
      <alignment horizontal="center" vertical="center" wrapText="1"/>
    </xf>
    <xf numFmtId="0" fontId="0" fillId="3" borderId="13" xfId="0" applyFill="1" applyBorder="1" applyAlignment="1">
      <alignment horizontal="left"/>
    </xf>
    <xf numFmtId="0" fontId="0" fillId="3" borderId="3" xfId="0" applyFill="1" applyBorder="1" applyAlignment="1">
      <alignment horizontal="left"/>
    </xf>
    <xf numFmtId="0" fontId="0" fillId="3" borderId="7" xfId="0" applyFill="1" applyBorder="1" applyAlignment="1">
      <alignment horizontal="left"/>
    </xf>
    <xf numFmtId="0" fontId="0" fillId="3" borderId="6" xfId="0" applyFill="1" applyBorder="1" applyAlignment="1">
      <alignment horizontal="left" vertical="center" wrapText="1"/>
    </xf>
    <xf numFmtId="0" fontId="0" fillId="3" borderId="19"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0" borderId="89"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0" fillId="0" borderId="0" xfId="0" applyAlignment="1">
      <alignment horizontal="left" vertical="center" wrapText="1"/>
    </xf>
    <xf numFmtId="0" fontId="3" fillId="3" borderId="23" xfId="0" applyFont="1" applyFill="1" applyBorder="1" applyAlignment="1">
      <alignment horizontal="left" vertical="top" wrapText="1"/>
    </xf>
    <xf numFmtId="0" fontId="3" fillId="3" borderId="25"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8" xfId="0" applyFont="1" applyFill="1" applyBorder="1" applyAlignment="1">
      <alignment horizontal="left" vertical="top" wrapText="1"/>
    </xf>
    <xf numFmtId="0" fontId="0" fillId="3" borderId="14" xfId="0" applyFill="1" applyBorder="1" applyAlignment="1">
      <alignment horizontal="left"/>
    </xf>
    <xf numFmtId="0" fontId="0" fillId="3" borderId="40" xfId="0" applyFill="1" applyBorder="1" applyAlignment="1">
      <alignment horizontal="left"/>
    </xf>
    <xf numFmtId="0" fontId="0" fillId="3" borderId="79" xfId="0" applyFill="1" applyBorder="1" applyAlignment="1">
      <alignment horizontal="left"/>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xf>
    <xf numFmtId="0" fontId="2" fillId="3" borderId="50" xfId="0" applyFont="1" applyFill="1" applyBorder="1" applyAlignment="1">
      <alignment horizontal="center" vertical="center"/>
    </xf>
    <xf numFmtId="0" fontId="3" fillId="3" borderId="42" xfId="0" applyFont="1" applyFill="1" applyBorder="1" applyAlignment="1">
      <alignment horizontal="left"/>
    </xf>
    <xf numFmtId="0" fontId="3" fillId="3" borderId="45" xfId="0" applyFont="1" applyFill="1" applyBorder="1" applyAlignment="1">
      <alignment horizontal="left"/>
    </xf>
    <xf numFmtId="0" fontId="2" fillId="3" borderId="17" xfId="0" applyFont="1" applyFill="1" applyBorder="1" applyAlignment="1">
      <alignment horizontal="center"/>
    </xf>
    <xf numFmtId="0" fontId="2" fillId="3" borderId="18" xfId="0" applyFont="1" applyFill="1" applyBorder="1" applyAlignment="1">
      <alignment horizontal="center"/>
    </xf>
    <xf numFmtId="0" fontId="2" fillId="3" borderId="37" xfId="0" applyFont="1" applyFill="1" applyBorder="1" applyAlignment="1">
      <alignment horizontal="left" wrapText="1"/>
    </xf>
    <xf numFmtId="0" fontId="2" fillId="3" borderId="38" xfId="0" applyFont="1" applyFill="1" applyBorder="1" applyAlignment="1">
      <alignment horizontal="left" wrapText="1"/>
    </xf>
    <xf numFmtId="0" fontId="2" fillId="5" borderId="8" xfId="0" applyFont="1" applyFill="1" applyBorder="1" applyAlignment="1">
      <alignment horizontal="left"/>
    </xf>
    <xf numFmtId="0" fontId="2" fillId="5" borderId="4" xfId="0" applyFont="1" applyFill="1" applyBorder="1" applyAlignment="1">
      <alignment horizontal="left"/>
    </xf>
    <xf numFmtId="0" fontId="0" fillId="5" borderId="7" xfId="0" applyFill="1" applyBorder="1" applyAlignment="1">
      <alignment horizontal="left"/>
    </xf>
    <xf numFmtId="0" fontId="0" fillId="5" borderId="1" xfId="0" applyFill="1" applyBorder="1" applyAlignment="1">
      <alignment horizontal="left"/>
    </xf>
    <xf numFmtId="0" fontId="0" fillId="5" borderId="14" xfId="0" applyFill="1" applyBorder="1" applyAlignment="1">
      <alignment horizontal="left"/>
    </xf>
    <xf numFmtId="0" fontId="0" fillId="5" borderId="11" xfId="0" applyFill="1" applyBorder="1" applyAlignment="1">
      <alignment horizontal="left"/>
    </xf>
    <xf numFmtId="0" fontId="18" fillId="3" borderId="42" xfId="0" applyFont="1" applyFill="1" applyBorder="1" applyAlignment="1">
      <alignment horizontal="center"/>
    </xf>
    <xf numFmtId="0" fontId="18" fillId="3" borderId="45" xfId="0" applyFont="1" applyFill="1" applyBorder="1" applyAlignment="1">
      <alignment horizontal="center"/>
    </xf>
    <xf numFmtId="0" fontId="18" fillId="3" borderId="34" xfId="0" applyFont="1" applyFill="1" applyBorder="1" applyAlignment="1">
      <alignment horizontal="center"/>
    </xf>
    <xf numFmtId="0" fontId="44" fillId="3" borderId="37" xfId="2" applyNumberFormat="1" applyFont="1" applyFill="1" applyBorder="1" applyAlignment="1" applyProtection="1">
      <alignment horizontal="center" vertical="center" wrapText="1"/>
    </xf>
    <xf numFmtId="0" fontId="44" fillId="3" borderId="38" xfId="2" applyNumberFormat="1" applyFont="1" applyFill="1" applyBorder="1" applyAlignment="1" applyProtection="1">
      <alignment horizontal="center" vertical="center" wrapText="1"/>
    </xf>
    <xf numFmtId="0" fontId="44" fillId="3" borderId="33" xfId="2" applyNumberFormat="1" applyFont="1" applyFill="1" applyBorder="1" applyAlignment="1" applyProtection="1">
      <alignment horizontal="center" vertical="center" wrapText="1"/>
    </xf>
    <xf numFmtId="0" fontId="44" fillId="3" borderId="92" xfId="2" applyNumberFormat="1" applyFont="1" applyFill="1" applyBorder="1" applyAlignment="1" applyProtection="1">
      <alignment horizontal="center" vertical="center" wrapText="1"/>
    </xf>
    <xf numFmtId="0" fontId="44" fillId="3" borderId="0" xfId="2" applyNumberFormat="1" applyFont="1" applyFill="1" applyBorder="1" applyAlignment="1" applyProtection="1">
      <alignment horizontal="center" vertical="center" wrapText="1"/>
    </xf>
    <xf numFmtId="0" fontId="44" fillId="3" borderId="32" xfId="2" applyNumberFormat="1" applyFont="1" applyFill="1" applyBorder="1" applyAlignment="1" applyProtection="1">
      <alignment horizontal="center" vertical="center" wrapText="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3" borderId="20"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83" xfId="0" applyFont="1" applyFill="1" applyBorder="1" applyAlignment="1">
      <alignment horizontal="center" vertical="center"/>
    </xf>
    <xf numFmtId="0" fontId="2" fillId="3" borderId="83" xfId="0" applyFont="1" applyFill="1" applyBorder="1" applyAlignment="1">
      <alignment horizontal="center" vertical="center" wrapText="1"/>
    </xf>
    <xf numFmtId="0" fontId="2" fillId="8" borderId="17" xfId="0" applyFont="1" applyFill="1" applyBorder="1" applyAlignment="1">
      <alignment horizontal="left"/>
    </xf>
    <xf numFmtId="0" fontId="2" fillId="8" borderId="20" xfId="0" applyFont="1" applyFill="1" applyBorder="1" applyAlignment="1">
      <alignment horizontal="left"/>
    </xf>
    <xf numFmtId="0" fontId="2" fillId="8" borderId="18" xfId="0" applyFont="1" applyFill="1" applyBorder="1" applyAlignment="1">
      <alignment horizontal="left"/>
    </xf>
    <xf numFmtId="0" fontId="2" fillId="3" borderId="17" xfId="0" applyFont="1" applyFill="1" applyBorder="1" applyAlignment="1">
      <alignment horizontal="center" vertical="center"/>
    </xf>
    <xf numFmtId="0" fontId="2" fillId="3" borderId="17" xfId="0" applyFont="1" applyFill="1" applyBorder="1" applyAlignment="1">
      <alignment horizontal="left" vertical="center"/>
    </xf>
    <xf numFmtId="0" fontId="2" fillId="3" borderId="20" xfId="0" applyFont="1" applyFill="1" applyBorder="1" applyAlignment="1">
      <alignment horizontal="left" vertical="center"/>
    </xf>
    <xf numFmtId="0" fontId="3" fillId="3" borderId="39" xfId="0" applyFont="1" applyFill="1" applyBorder="1" applyAlignment="1">
      <alignment horizontal="left" vertical="top" wrapText="1"/>
    </xf>
    <xf numFmtId="0" fontId="3" fillId="3" borderId="35" xfId="0" applyFont="1" applyFill="1" applyBorder="1" applyAlignment="1">
      <alignment horizontal="left" vertical="top" wrapText="1"/>
    </xf>
    <xf numFmtId="0" fontId="2" fillId="3" borderId="33" xfId="0" applyFont="1" applyFill="1" applyBorder="1" applyAlignment="1">
      <alignment horizontal="left" wrapText="1"/>
    </xf>
    <xf numFmtId="0" fontId="2" fillId="3" borderId="33" xfId="0" applyFont="1" applyFill="1" applyBorder="1" applyAlignment="1">
      <alignment horizontal="center" vertical="center" wrapText="1"/>
    </xf>
    <xf numFmtId="0" fontId="2" fillId="3" borderId="1" xfId="0" applyFont="1" applyFill="1" applyBorder="1" applyAlignment="1">
      <alignment horizontal="left" vertical="center" wrapText="1"/>
    </xf>
  </cellXfs>
  <cellStyles count="5">
    <cellStyle name="Comma" xfId="1" builtinId="3"/>
    <cellStyle name="Currency" xfId="2" builtinId="4"/>
    <cellStyle name="Hyperlink" xfId="4" builtinId="8"/>
    <cellStyle name="Normal" xfId="0" builtinId="0"/>
    <cellStyle name="Percent" xfId="3" builtinId="5"/>
  </cellStyles>
  <dxfs count="8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C000"/>
        </patternFill>
      </fill>
    </dxf>
    <dxf>
      <fill>
        <patternFill>
          <bgColor theme="0"/>
        </patternFill>
      </fill>
    </dxf>
    <dxf>
      <font>
        <color auto="1"/>
      </font>
      <fill>
        <patternFill>
          <bgColor theme="0"/>
        </patternFill>
      </fill>
    </dxf>
    <dxf>
      <font>
        <color auto="1"/>
      </font>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fgColor rgb="FFFF0000"/>
          <bgColor rgb="FFFF0000"/>
        </patternFill>
      </fill>
    </dxf>
    <dxf>
      <fill>
        <patternFill>
          <bgColor rgb="FFFF0000"/>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border diagonalUp="0" diagonalDown="0">
        <left/>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1"/>
        <name val="Calibri"/>
        <family val="2"/>
        <scheme val="minor"/>
      </font>
      <protection locked="1" hidden="0"/>
    </dxf>
    <dxf>
      <fill>
        <patternFill patternType="none">
          <fgColor indexed="64"/>
          <bgColor indexed="65"/>
        </patternFill>
      </fill>
      <protection locked="1" hidden="0"/>
    </dxf>
    <dxf>
      <fill>
        <patternFill patternType="none">
          <fgColor indexed="64"/>
          <bgColor indexed="65"/>
        </patternFill>
      </fill>
      <protection locked="1" hidden="0"/>
    </dxf>
    <dxf>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1"/>
        <color rgb="FF000000"/>
        <name val="Calibri"/>
        <family val="2"/>
        <scheme val="minor"/>
      </font>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border outline="0">
        <top style="thin">
          <color indexed="64"/>
        </top>
      </border>
    </dxf>
    <dxf>
      <protection locked="1" hidden="0"/>
    </dxf>
    <dxf>
      <border outline="0">
        <bottom style="thin">
          <color indexed="64"/>
        </bottom>
      </border>
    </dxf>
    <dxf>
      <font>
        <b val="0"/>
        <i val="0"/>
        <strike val="0"/>
        <condense val="0"/>
        <extend val="0"/>
        <outline val="0"/>
        <shadow val="0"/>
        <u val="none"/>
        <vertAlign val="baseline"/>
        <sz val="11"/>
        <color rgb="FF000000"/>
        <name val="Calibri"/>
        <family val="2"/>
        <scheme val="minor"/>
      </font>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2</xdr:col>
      <xdr:colOff>1655586</xdr:colOff>
      <xdr:row>0</xdr:row>
      <xdr:rowOff>21475</xdr:rowOff>
    </xdr:from>
    <xdr:to>
      <xdr:col>4</xdr:col>
      <xdr:colOff>211666</xdr:colOff>
      <xdr:row>6</xdr:row>
      <xdr:rowOff>58645</xdr:rowOff>
    </xdr:to>
    <xdr:pic>
      <xdr:nvPicPr>
        <xdr:cNvPr id="2" name="Picture 1">
          <a:extLst>
            <a:ext uri="{FF2B5EF4-FFF2-40B4-BE49-F238E27FC236}">
              <a16:creationId xmlns:a16="http://schemas.microsoft.com/office/drawing/2014/main" id="{3A8006E3-7481-42E2-9967-5783D00820DC}"/>
            </a:ext>
          </a:extLst>
        </xdr:cNvPr>
        <xdr:cNvPicPr>
          <a:picLocks noChangeAspect="1"/>
        </xdr:cNvPicPr>
      </xdr:nvPicPr>
      <xdr:blipFill>
        <a:blip xmlns:r="http://schemas.openxmlformats.org/officeDocument/2006/relationships" r:embed="rId1"/>
        <a:stretch>
          <a:fillRect/>
        </a:stretch>
      </xdr:blipFill>
      <xdr:spPr>
        <a:xfrm>
          <a:off x="5146931" y="13855"/>
          <a:ext cx="1839608" cy="1117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787703</xdr:colOff>
      <xdr:row>1</xdr:row>
      <xdr:rowOff>106936</xdr:rowOff>
    </xdr:from>
    <xdr:to>
      <xdr:col>5</xdr:col>
      <xdr:colOff>3193413</xdr:colOff>
      <xdr:row>7</xdr:row>
      <xdr:rowOff>119743</xdr:rowOff>
    </xdr:to>
    <xdr:pic>
      <xdr:nvPicPr>
        <xdr:cNvPr id="2" name="Picture 1">
          <a:extLst>
            <a:ext uri="{FF2B5EF4-FFF2-40B4-BE49-F238E27FC236}">
              <a16:creationId xmlns:a16="http://schemas.microsoft.com/office/drawing/2014/main" id="{90ED89D8-9B14-42D1-973D-7E5EDE67D0E5}"/>
            </a:ext>
          </a:extLst>
        </xdr:cNvPr>
        <xdr:cNvPicPr>
          <a:picLocks noChangeAspect="1"/>
        </xdr:cNvPicPr>
      </xdr:nvPicPr>
      <xdr:blipFill>
        <a:blip xmlns:r="http://schemas.openxmlformats.org/officeDocument/2006/relationships" r:embed="rId1"/>
        <a:stretch>
          <a:fillRect/>
        </a:stretch>
      </xdr:blipFill>
      <xdr:spPr>
        <a:xfrm>
          <a:off x="13763474" y="291993"/>
          <a:ext cx="2405710" cy="13844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65316</xdr:colOff>
      <xdr:row>0</xdr:row>
      <xdr:rowOff>195942</xdr:rowOff>
    </xdr:from>
    <xdr:to>
      <xdr:col>3</xdr:col>
      <xdr:colOff>264508</xdr:colOff>
      <xdr:row>1</xdr:row>
      <xdr:rowOff>1032026</xdr:rowOff>
    </xdr:to>
    <xdr:pic>
      <xdr:nvPicPr>
        <xdr:cNvPr id="2" name="Picture 1">
          <a:extLst>
            <a:ext uri="{FF2B5EF4-FFF2-40B4-BE49-F238E27FC236}">
              <a16:creationId xmlns:a16="http://schemas.microsoft.com/office/drawing/2014/main" id="{31FCB16E-15A1-4C39-B353-00529DE23356}"/>
            </a:ext>
          </a:extLst>
        </xdr:cNvPr>
        <xdr:cNvPicPr>
          <a:picLocks noChangeAspect="1"/>
        </xdr:cNvPicPr>
      </xdr:nvPicPr>
      <xdr:blipFill>
        <a:blip xmlns:r="http://schemas.openxmlformats.org/officeDocument/2006/relationships" r:embed="rId1"/>
        <a:stretch>
          <a:fillRect/>
        </a:stretch>
      </xdr:blipFill>
      <xdr:spPr>
        <a:xfrm>
          <a:off x="65316" y="195942"/>
          <a:ext cx="1973563" cy="11953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1265704</xdr:colOff>
      <xdr:row>0</xdr:row>
      <xdr:rowOff>51955</xdr:rowOff>
    </xdr:from>
    <xdr:to>
      <xdr:col>5</xdr:col>
      <xdr:colOff>378431</xdr:colOff>
      <xdr:row>5</xdr:row>
      <xdr:rowOff>256470</xdr:rowOff>
    </xdr:to>
    <xdr:pic>
      <xdr:nvPicPr>
        <xdr:cNvPr id="2" name="Picture 1">
          <a:extLst>
            <a:ext uri="{FF2B5EF4-FFF2-40B4-BE49-F238E27FC236}">
              <a16:creationId xmlns:a16="http://schemas.microsoft.com/office/drawing/2014/main" id="{D6058DB7-6D18-4731-B81E-476522E20217}"/>
            </a:ext>
          </a:extLst>
        </xdr:cNvPr>
        <xdr:cNvPicPr>
          <a:picLocks noChangeAspect="1"/>
        </xdr:cNvPicPr>
      </xdr:nvPicPr>
      <xdr:blipFill>
        <a:blip xmlns:r="http://schemas.openxmlformats.org/officeDocument/2006/relationships" r:embed="rId1"/>
        <a:stretch>
          <a:fillRect/>
        </a:stretch>
      </xdr:blipFill>
      <xdr:spPr>
        <a:xfrm>
          <a:off x="6106136" y="51955"/>
          <a:ext cx="1703001" cy="11354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BDC51A-56C1-447B-850A-EBE16DA4E451}" name="DCAS_EE_list" displayName="DCAS_EE_list" ref="B30:T152" totalsRowShown="0" headerRowDxfId="83" dataDxfId="81" headerRowBorderDxfId="82" tableBorderDxfId="80">
  <autoFilter ref="B30:T152" xr:uid="{99D3DEF9-F7D0-42FA-8D95-A34139674FB7}"/>
  <tableColumns count="19">
    <tableColumn id="1" xr3:uid="{40F7F104-43F9-4CDA-A1AA-78A315A0CE86}" name="01 HVAC Systems" dataDxfId="79"/>
    <tableColumn id="2" xr3:uid="{6643C590-5F14-4D69-8408-6C049DD8ECB9}" name="02 Domestic Hot Water Systems" dataDxfId="78"/>
    <tableColumn id="3" xr3:uid="{EE14D0C2-0A69-4937-BA76-4C672FC259EC}" name="03 Building Automation Systems" dataDxfId="77"/>
    <tableColumn id="4" xr3:uid="{FDE3C139-C73C-4C0C-BC04-193E3493D6A4}" name="04 Building Enclosure" dataDxfId="76"/>
    <tableColumn id="5" xr3:uid="{9224E69C-1E86-42B3-9846-CCB0A749C6ED}" name="05 Chilled Water Hot Water And Steam Distribution Systems" dataDxfId="75"/>
    <tableColumn id="6" xr3:uid="{8822CE25-2096-40F4-B6E3-85E97B816A16}" name="06 Chiller Plant" dataDxfId="74"/>
    <tableColumn id="7" xr3:uid="{9915E525-94D7-4C6D-9FBF-A3AD80043AAC}" name="07 Conveyance Systems" dataDxfId="73"/>
    <tableColumn id="8" xr3:uid="{9EB00B88-850B-4DF3-B5B1-456C9AADE491}" name="08 Data Center" dataDxfId="72"/>
    <tableColumn id="9" xr3:uid="{A4765D60-D26F-4F21-9749-788A2BABA619}" name="09 Distributed Generation" dataDxfId="71"/>
    <tableColumn id="10" xr3:uid="{4D082A95-9B28-40A4-8ACE-3FA69DA3D4E2}" name="10 Electrical Peak Shaving Load Shifting" dataDxfId="70"/>
    <tableColumn id="11" xr3:uid="{B7AC01E2-4D4A-4E89-9CE0-DEB496850349}" name="11 Energy Distribution Systems" dataDxfId="69"/>
    <tableColumn id="12" xr3:uid="{8B2015E6-2314-4E2A-9CE3-72DF134492E6}" name="12 Lighting" dataDxfId="68"/>
    <tableColumn id="13" xr3:uid="{384864BB-4213-467A-910D-8AF0639570C7}" name="13 Other Electric Motors And Drives" dataDxfId="67"/>
    <tableColumn id="14" xr3:uid="{21D73A40-5598-4714-AFAB-A6E2CA6BA143}" name="14 HVAC" dataDxfId="66"/>
    <tableColumn id="15" xr3:uid="{C4A6A558-2162-4F2A-92D7-5D7411BF3BB3}" name="15 Plug Loads" dataDxfId="65"/>
    <tableColumn id="16" xr3:uid="{8C73C621-713C-4BE6-9CB7-3671A72A20DB}" name="16 Refrigeration" dataDxfId="64"/>
    <tableColumn id="18" xr3:uid="{23D4E01A-93EB-4711-A897-FB4BDFE96CDE}" name="18 Service Hot Water Systems" dataDxfId="63"/>
    <tableColumn id="19" xr3:uid="{7E1CBDAC-6FF2-49CB-9B6E-69093F81BED3}" name="20 Water And Sewer Conservation Systems" dataDxfId="62"/>
    <tableColumn id="20" xr3:uid="{1698F811-CBAA-48DC-BABC-D4BF1398213C}" name="19 Uncategorized" dataDxfId="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D59DAA-BEF1-4A64-9D25-8933F11D968B}" name="NYSERDA_RE_list" displayName="NYSERDA_RE_list" ref="B153:B160" totalsRowShown="0" headerRowDxfId="60" dataDxfId="59">
  <autoFilter ref="B153:B160" xr:uid="{3C0F2389-D6BD-4B50-915B-D79D231FC330}"/>
  <tableColumns count="1">
    <tableColumn id="1" xr3:uid="{B7EFEC23-D781-4C8F-A4A7-FA3519C1BFFB}" name="Renewable energy systems" dataDxfId="5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41419-242B-42E0-A192-F5505439D402}" name="Measure_list" displayName="Measure_list" ref="B2:B14" totalsRowShown="0" headerRowDxfId="57" dataDxfId="55" headerRowBorderDxfId="56" tableBorderDxfId="54" totalsRowBorderDxfId="53">
  <autoFilter ref="B2:B14" xr:uid="{E1B7A426-691B-449C-A76E-FAACAC569EC3}"/>
  <tableColumns count="1">
    <tableColumn id="1" xr3:uid="{D311273F-0C73-4DA4-9367-6F7B6E1C24FB}" name="Measure type" dataDxfId="5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E944EB-5255-4BE4-8C28-7278BEE5E24E}" name="Units_list" displayName="Units_list" ref="D2:D5" totalsRowShown="0" headerRowDxfId="51" dataDxfId="50">
  <autoFilter ref="D2:D5" xr:uid="{23153DFF-F19A-4849-81DA-49C77587852D}"/>
  <tableColumns count="1">
    <tableColumn id="1" xr3:uid="{BC40F7D7-0AB1-4CDD-8AEA-05BE4683F028}" name="Units" dataDxfId="4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B6D3045-CD95-427B-BF6C-5A349B50F484}" name="Locations_list" displayName="Locations_list" ref="F2:F10" totalsRowShown="0" headerRowDxfId="48" dataDxfId="47">
  <autoFilter ref="F2:F10" xr:uid="{5917DEA7-42B9-4CBE-82BA-088B4683942E}"/>
  <tableColumns count="1">
    <tableColumn id="1" xr3:uid="{1EE873C9-51D7-4536-A6E4-6A6168315C95}" name="Building locations" dataDxfId="4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3FB85E-1985-4325-BD05-E60E4E194C55}" name="Table7" displayName="Table7" ref="B16:B27" totalsRowShown="0" headerRowDxfId="45" dataDxfId="44">
  <autoFilter ref="B16:B27" xr:uid="{FF3FB85E-1985-4325-BD05-E60E4E194C55}"/>
  <tableColumns count="1">
    <tableColumn id="1" xr3:uid="{2F13C2A4-556F-4E71-A523-17D8F752DEB4}" name="HVAC_Systems" dataDxfId="4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898BA2A-53A1-437E-BE32-82DE98FC4C03}" name="Table8" displayName="Table8" ref="C16:F27" totalsRowShown="0" headerRowDxfId="42" dataDxfId="41">
  <autoFilter ref="C16:F27" xr:uid="{B898BA2A-53A1-437E-BE32-82DE98FC4C03}"/>
  <tableColumns count="4">
    <tableColumn id="1" xr3:uid="{3C4C12EB-D569-4DC2-AF6D-37F535F7F3D5}" name="Domestic_Hot_Water_Systems" dataDxfId="40"/>
    <tableColumn id="2" xr3:uid="{3726B552-2599-4D49-890A-B52108FDCFAE}" name="Building_Electric_Service_Upgrades" dataDxfId="39"/>
    <tableColumn id="3" xr3:uid="{391BBBBF-1D20-4A1B-BC83-8B4A11C47DE4}" name="Building_Enclosure" dataDxfId="38"/>
    <tableColumn id="4" xr3:uid="{8507E932-F674-401A-9A57-3EFCDF83F603}" name="Energy_Efficiency " dataDxfId="37"/>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zola.planning.nyc.gov/"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yserda.ny.gov/All-Programs/Commercial-Property-Assessed-Clean-Energy-PACE-Financing-Resources" TargetMode="External"/><Relationship Id="rId1" Type="http://schemas.openxmlformats.org/officeDocument/2006/relationships/hyperlink" Target="https://accelerator.nyc/resources/finance/PACE"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nergystar.gov/buildings/benchmark/understand_metrics/property_types" TargetMode="External"/><Relationship Id="rId1" Type="http://schemas.openxmlformats.org/officeDocument/2006/relationships/hyperlink" Target="https://www1.nyc.gov/assets/buildings/local_laws/ll97of2019.pdf"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693A1-0C9D-4861-81D2-0468733DC52B}">
  <sheetPr codeName="Sheet1">
    <tabColor theme="9" tint="0.79998168889431442"/>
  </sheetPr>
  <dimension ref="B2:O57"/>
  <sheetViews>
    <sheetView showGridLines="0" tabSelected="1" view="pageBreakPreview" zoomScale="70" zoomScaleNormal="90" zoomScaleSheetLayoutView="70" workbookViewId="0">
      <selection activeCell="J32" sqref="J32"/>
    </sheetView>
  </sheetViews>
  <sheetFormatPr defaultRowHeight="14.4" x14ac:dyDescent="0.3"/>
  <cols>
    <col min="1" max="1" width="1.5546875" customWidth="1"/>
    <col min="2" max="2" width="49.33203125" customWidth="1"/>
    <col min="3" max="3" width="25.33203125" customWidth="1"/>
    <col min="4" max="5" width="22.5546875" customWidth="1"/>
    <col min="6" max="6" width="39.33203125" customWidth="1"/>
  </cols>
  <sheetData>
    <row r="2" spans="2:6" x14ac:dyDescent="0.3">
      <c r="B2" s="116" t="s">
        <v>690</v>
      </c>
    </row>
    <row r="7" spans="2:6" x14ac:dyDescent="0.3">
      <c r="B7" s="117" t="s">
        <v>490</v>
      </c>
    </row>
    <row r="8" spans="2:6" ht="18.600000000000001" thickBot="1" x14ac:dyDescent="0.4">
      <c r="B8" s="118"/>
    </row>
    <row r="9" spans="2:6" s="57" customFormat="1" ht="15" customHeight="1" thickBot="1" x14ac:dyDescent="0.35">
      <c r="B9" s="366" t="s">
        <v>431</v>
      </c>
      <c r="C9" s="367"/>
      <c r="D9" s="367"/>
      <c r="E9" s="367"/>
      <c r="F9" s="368"/>
    </row>
    <row r="10" spans="2:6" s="44" customFormat="1" ht="15" customHeight="1" x14ac:dyDescent="0.3">
      <c r="B10" s="115" t="s">
        <v>428</v>
      </c>
      <c r="C10" s="373"/>
      <c r="D10" s="373"/>
      <c r="E10" s="373"/>
      <c r="F10" s="374"/>
    </row>
    <row r="11" spans="2:6" s="44" customFormat="1" ht="15" customHeight="1" x14ac:dyDescent="0.3">
      <c r="B11" s="114" t="s">
        <v>429</v>
      </c>
      <c r="C11" s="371"/>
      <c r="D11" s="371"/>
      <c r="E11" s="371"/>
      <c r="F11" s="372"/>
    </row>
    <row r="12" spans="2:6" s="44" customFormat="1" ht="15" customHeight="1" x14ac:dyDescent="0.3">
      <c r="B12" s="114" t="s">
        <v>430</v>
      </c>
      <c r="C12" s="371"/>
      <c r="D12" s="371"/>
      <c r="E12" s="371"/>
      <c r="F12" s="372"/>
    </row>
    <row r="13" spans="2:6" s="44" customFormat="1" ht="15" customHeight="1" x14ac:dyDescent="0.3">
      <c r="B13" s="113" t="s">
        <v>600</v>
      </c>
      <c r="C13" s="369"/>
      <c r="D13" s="369"/>
      <c r="E13" s="369"/>
      <c r="F13" s="370"/>
    </row>
    <row r="14" spans="2:6" s="44" customFormat="1" ht="15" customHeight="1" x14ac:dyDescent="0.3">
      <c r="B14" s="113" t="s">
        <v>485</v>
      </c>
      <c r="C14" s="369"/>
      <c r="D14" s="369"/>
      <c r="E14" s="369"/>
      <c r="F14" s="370"/>
    </row>
    <row r="15" spans="2:6" s="44" customFormat="1" ht="15" customHeight="1" thickBot="1" x14ac:dyDescent="0.35">
      <c r="B15" s="41" t="s">
        <v>663</v>
      </c>
      <c r="C15" s="42">
        <f>'4 Savings Analysis'!E14</f>
        <v>0</v>
      </c>
      <c r="D15" s="42"/>
      <c r="E15" s="42"/>
      <c r="F15" s="43"/>
    </row>
    <row r="16" spans="2:6" s="44" customFormat="1" ht="15" customHeight="1" thickBot="1" x14ac:dyDescent="0.35">
      <c r="B16" s="378" t="s">
        <v>489</v>
      </c>
      <c r="C16" s="379"/>
      <c r="D16" s="379"/>
      <c r="E16" s="379"/>
      <c r="F16" s="380"/>
    </row>
    <row r="17" spans="2:15" s="44" customFormat="1" ht="15" customHeight="1" x14ac:dyDescent="0.3">
      <c r="B17" s="45" t="s">
        <v>619</v>
      </c>
      <c r="C17" s="46">
        <f>'3 Construction Scope'!D7</f>
        <v>0</v>
      </c>
      <c r="D17" s="47"/>
      <c r="E17" s="47" t="s">
        <v>660</v>
      </c>
      <c r="F17" s="48"/>
    </row>
    <row r="18" spans="2:15" s="44" customFormat="1" ht="15" customHeight="1" x14ac:dyDescent="0.3">
      <c r="B18" s="49" t="s">
        <v>499</v>
      </c>
      <c r="C18" s="50">
        <f>'3 Construction Scope'!D8</f>
        <v>0</v>
      </c>
      <c r="D18" s="51"/>
      <c r="E18" s="51"/>
      <c r="F18" s="52"/>
    </row>
    <row r="19" spans="2:15" s="44" customFormat="1" ht="15" customHeight="1" thickBot="1" x14ac:dyDescent="0.35">
      <c r="B19" s="53" t="s">
        <v>620</v>
      </c>
      <c r="C19" s="54" t="e">
        <f>C18/C17</f>
        <v>#DIV/0!</v>
      </c>
      <c r="D19" s="55"/>
      <c r="E19" s="55"/>
      <c r="F19" s="56"/>
    </row>
    <row r="20" spans="2:15" s="57" customFormat="1" ht="15" customHeight="1" thickBot="1" x14ac:dyDescent="0.35">
      <c r="B20" s="375" t="s">
        <v>481</v>
      </c>
      <c r="C20" s="376"/>
      <c r="D20" s="376"/>
      <c r="E20" s="376"/>
      <c r="F20" s="377"/>
      <c r="H20" s="58"/>
    </row>
    <row r="21" spans="2:15" s="44" customFormat="1" ht="15" customHeight="1" x14ac:dyDescent="0.3">
      <c r="B21" s="59"/>
      <c r="C21" s="60" t="s">
        <v>432</v>
      </c>
      <c r="D21" s="61" t="s">
        <v>433</v>
      </c>
      <c r="E21" s="61" t="s">
        <v>587</v>
      </c>
      <c r="F21" s="62" t="s">
        <v>436</v>
      </c>
      <c r="H21" s="63"/>
      <c r="I21" s="63"/>
      <c r="J21" s="63"/>
      <c r="K21" s="63"/>
      <c r="L21" s="63"/>
      <c r="M21" s="64"/>
      <c r="N21" s="64"/>
      <c r="O21" s="64"/>
    </row>
    <row r="22" spans="2:15" s="44" customFormat="1" ht="15" customHeight="1" x14ac:dyDescent="0.3">
      <c r="B22" s="65" t="s">
        <v>496</v>
      </c>
      <c r="C22" s="66"/>
      <c r="D22" s="67"/>
      <c r="E22" s="67"/>
      <c r="F22" s="68"/>
    </row>
    <row r="23" spans="2:15" s="44" customFormat="1" ht="15" customHeight="1" x14ac:dyDescent="0.3">
      <c r="B23" s="69" t="s">
        <v>435</v>
      </c>
      <c r="C23" s="70">
        <f>'4 Savings Analysis'!E6</f>
        <v>0</v>
      </c>
      <c r="D23" s="71">
        <f>'4 Savings Analysis'!S6</f>
        <v>0</v>
      </c>
      <c r="E23" s="71">
        <f>C23-D23</f>
        <v>0</v>
      </c>
      <c r="F23" s="72" t="str">
        <f>IF(AND(C23=0, D23&gt;0),"New usage, no baseline electricity usage",IFERROR((C23-D23)/C23,"No change"))</f>
        <v>No change</v>
      </c>
    </row>
    <row r="24" spans="2:15" s="44" customFormat="1" ht="15" customHeight="1" x14ac:dyDescent="0.3">
      <c r="B24" s="69" t="s">
        <v>473</v>
      </c>
      <c r="C24" s="70">
        <f>'4 Savings Analysis'!E7</f>
        <v>0</v>
      </c>
      <c r="D24" s="71">
        <f>'4 Savings Analysis'!S7</f>
        <v>0</v>
      </c>
      <c r="E24" s="71">
        <f>C24-D24</f>
        <v>0</v>
      </c>
      <c r="F24" s="72" t="str">
        <f>IF(AND(C24=0, D24&gt;0),"New usage, no baseline natural gas usage",IFERROR((C24-D24)/C24,"No change"))</f>
        <v>No change</v>
      </c>
    </row>
    <row r="25" spans="2:15" s="44" customFormat="1" ht="15" customHeight="1" x14ac:dyDescent="0.3">
      <c r="B25" s="69" t="s">
        <v>477</v>
      </c>
      <c r="C25" s="70">
        <f>'4 Savings Analysis'!E8</f>
        <v>0</v>
      </c>
      <c r="D25" s="71">
        <f>'4 Savings Analysis'!S8</f>
        <v>0</v>
      </c>
      <c r="E25" s="71">
        <f>C25-D25</f>
        <v>0</v>
      </c>
      <c r="F25" s="72" t="str">
        <f>IF(AND(C25=0, D25&gt;0),"New usage, no baseline #2 fuel oil usage",IFERROR((C25-D25)/C25,"No change"))</f>
        <v>No change</v>
      </c>
    </row>
    <row r="26" spans="2:15" s="44" customFormat="1" ht="15" customHeight="1" x14ac:dyDescent="0.3">
      <c r="B26" s="69" t="s">
        <v>478</v>
      </c>
      <c r="C26" s="70">
        <f>'4 Savings Analysis'!E9</f>
        <v>0</v>
      </c>
      <c r="D26" s="71">
        <f>'4 Savings Analysis'!S9</f>
        <v>0</v>
      </c>
      <c r="E26" s="71">
        <f>C26-D26</f>
        <v>0</v>
      </c>
      <c r="F26" s="72" t="str">
        <f>IF(AND(C26=0, D26&gt;0),"New usage, no baseline #4 fuel oil usage",IFERROR((C26-D26)/C26,"No change"))</f>
        <v>No change</v>
      </c>
    </row>
    <row r="27" spans="2:15" s="44" customFormat="1" ht="15" customHeight="1" thickBot="1" x14ac:dyDescent="0.35">
      <c r="B27" s="73" t="s">
        <v>474</v>
      </c>
      <c r="C27" s="70">
        <f>'4 Savings Analysis'!E10</f>
        <v>0</v>
      </c>
      <c r="D27" s="71">
        <f>'4 Savings Analysis'!S10</f>
        <v>0</v>
      </c>
      <c r="E27" s="74">
        <f>C27-D27</f>
        <v>0</v>
      </c>
      <c r="F27" s="72" t="str">
        <f>IF(AND(C27=0, D27&gt;0),"New usage, no baseline district steam usage",IFERROR((C27-D27)/C27,"No change"))</f>
        <v>No change</v>
      </c>
    </row>
    <row r="28" spans="2:15" s="44" customFormat="1" ht="15" customHeight="1" thickBot="1" x14ac:dyDescent="0.35">
      <c r="B28" s="75" t="s">
        <v>475</v>
      </c>
      <c r="C28" s="76">
        <f>'4 Savings Analysis'!G11</f>
        <v>0</v>
      </c>
      <c r="D28" s="77">
        <f>C28-E28</f>
        <v>0</v>
      </c>
      <c r="E28" s="77">
        <f>'4 Savings Analysis'!O18</f>
        <v>0</v>
      </c>
      <c r="F28" s="78" t="str">
        <f>IFERROR(E28/C28,"")</f>
        <v/>
      </c>
    </row>
    <row r="29" spans="2:15" s="44" customFormat="1" ht="15" customHeight="1" x14ac:dyDescent="0.3">
      <c r="B29" s="59"/>
      <c r="C29" s="79"/>
      <c r="D29" s="80"/>
      <c r="E29" s="80"/>
      <c r="F29" s="81"/>
    </row>
    <row r="30" spans="2:15" s="44" customFormat="1" ht="15" customHeight="1" x14ac:dyDescent="0.3">
      <c r="B30" s="65" t="s">
        <v>495</v>
      </c>
      <c r="C30" s="66"/>
      <c r="D30" s="67"/>
      <c r="E30" s="67"/>
      <c r="F30" s="72"/>
    </row>
    <row r="31" spans="2:15" s="44" customFormat="1" ht="15" customHeight="1" x14ac:dyDescent="0.3">
      <c r="B31" s="69" t="s">
        <v>0</v>
      </c>
      <c r="C31" s="82">
        <f>C23*'4 Savings Analysis'!F6</f>
        <v>0</v>
      </c>
      <c r="D31" s="83">
        <f>D23*'4 Savings Analysis'!F6</f>
        <v>0</v>
      </c>
      <c r="E31" s="83">
        <f t="shared" ref="E31:E36" si="0">C31-D31</f>
        <v>0</v>
      </c>
      <c r="F31" s="72" t="str">
        <f>IF(AND(C31=0, D31&gt;0),"New usage, no baseline electricity usage",IFERROR((C31-D31)/C31,"No change"))</f>
        <v>No change</v>
      </c>
    </row>
    <row r="32" spans="2:15" s="44" customFormat="1" ht="15" customHeight="1" x14ac:dyDescent="0.3">
      <c r="B32" s="69" t="s">
        <v>463</v>
      </c>
      <c r="C32" s="82">
        <f>C24*'4 Savings Analysis'!F7</f>
        <v>0</v>
      </c>
      <c r="D32" s="83">
        <f>D24*'4 Savings Analysis'!F7</f>
        <v>0</v>
      </c>
      <c r="E32" s="83">
        <f t="shared" si="0"/>
        <v>0</v>
      </c>
      <c r="F32" s="72" t="str">
        <f>IF(AND(C32=0, D32&gt;0),"New usage, no baseline natural gas usage",IFERROR((C32-D32)/C32,"No change"))</f>
        <v>No change</v>
      </c>
    </row>
    <row r="33" spans="2:8" s="44" customFormat="1" ht="15" customHeight="1" x14ac:dyDescent="0.3">
      <c r="B33" s="69" t="s">
        <v>449</v>
      </c>
      <c r="C33" s="82">
        <f>C25*'4 Savings Analysis'!F8</f>
        <v>0</v>
      </c>
      <c r="D33" s="83">
        <f>D25*'4 Savings Analysis'!F8</f>
        <v>0</v>
      </c>
      <c r="E33" s="83">
        <f t="shared" si="0"/>
        <v>0</v>
      </c>
      <c r="F33" s="72" t="str">
        <f>IF(AND(C33=0, D33&gt;0),"New usage, no baseline #2 fuel usage",IFERROR((C33-D33)/C33,"No change"))</f>
        <v>No change</v>
      </c>
    </row>
    <row r="34" spans="2:8" s="44" customFormat="1" ht="15" customHeight="1" x14ac:dyDescent="0.3">
      <c r="B34" s="69" t="s">
        <v>450</v>
      </c>
      <c r="C34" s="82">
        <f>C26*'4 Savings Analysis'!F9</f>
        <v>0</v>
      </c>
      <c r="D34" s="83">
        <f>D26*'4 Savings Analysis'!F9</f>
        <v>0</v>
      </c>
      <c r="E34" s="83">
        <f t="shared" si="0"/>
        <v>0</v>
      </c>
      <c r="F34" s="72" t="str">
        <f>IF(AND(C34=0, D34&gt;0),"New usage, no baseline #4 fuel oil usage",IFERROR((C34-D34)/C34,"No change"))</f>
        <v>No change</v>
      </c>
    </row>
    <row r="35" spans="2:8" s="44" customFormat="1" ht="15" customHeight="1" thickBot="1" x14ac:dyDescent="0.35">
      <c r="B35" s="73" t="s">
        <v>460</v>
      </c>
      <c r="C35" s="84">
        <f>C27*'4 Savings Analysis'!F10</f>
        <v>0</v>
      </c>
      <c r="D35" s="85">
        <f>D27*'4 Savings Analysis'!F10</f>
        <v>0</v>
      </c>
      <c r="E35" s="85">
        <f t="shared" si="0"/>
        <v>0</v>
      </c>
      <c r="F35" s="72" t="str">
        <f>IF(AND(C35=0, D35&gt;0),"New usage, no baseline district steam usage",IFERROR((C35-D35)/C35,"No change"))</f>
        <v>No change</v>
      </c>
    </row>
    <row r="36" spans="2:8" s="44" customFormat="1" ht="15" customHeight="1" thickBot="1" x14ac:dyDescent="0.35">
      <c r="B36" s="75" t="s">
        <v>476</v>
      </c>
      <c r="C36" s="86">
        <f>SUM(C31:C35)</f>
        <v>0</v>
      </c>
      <c r="D36" s="86">
        <f>SUM(D31:D35)</f>
        <v>0</v>
      </c>
      <c r="E36" s="87">
        <f t="shared" si="0"/>
        <v>0</v>
      </c>
      <c r="F36" s="78" t="str">
        <f>IFERROR(E36/C36,"")</f>
        <v/>
      </c>
    </row>
    <row r="37" spans="2:8" s="44" customFormat="1" ht="15" customHeight="1" thickBot="1" x14ac:dyDescent="0.35">
      <c r="B37" s="88"/>
      <c r="C37" s="89"/>
      <c r="D37" s="90"/>
      <c r="E37" s="90"/>
      <c r="F37" s="91"/>
      <c r="G37" s="92"/>
    </row>
    <row r="38" spans="2:8" s="44" customFormat="1" ht="15" customHeight="1" thickBot="1" x14ac:dyDescent="0.35">
      <c r="B38" s="93" t="s">
        <v>497</v>
      </c>
      <c r="C38" s="94"/>
      <c r="D38" s="95"/>
      <c r="E38" s="96">
        <f>'4 Savings Analysis'!U43</f>
        <v>0</v>
      </c>
      <c r="F38" s="78"/>
      <c r="G38" s="92"/>
    </row>
    <row r="39" spans="2:8" s="44" customFormat="1" ht="15" customHeight="1" thickBot="1" x14ac:dyDescent="0.35">
      <c r="B39" s="88"/>
      <c r="C39" s="89"/>
      <c r="D39" s="90"/>
      <c r="E39" s="90"/>
      <c r="F39" s="91"/>
      <c r="G39" s="97"/>
    </row>
    <row r="40" spans="2:8" s="44" customFormat="1" ht="15" customHeight="1" x14ac:dyDescent="0.3">
      <c r="B40" s="98" t="s">
        <v>498</v>
      </c>
      <c r="C40" s="99"/>
      <c r="D40" s="99"/>
      <c r="E40" s="99"/>
      <c r="F40" s="100"/>
    </row>
    <row r="41" spans="2:8" s="44" customFormat="1" ht="15" customHeight="1" x14ac:dyDescent="0.3">
      <c r="B41" s="101" t="s">
        <v>583</v>
      </c>
      <c r="C41" s="102" t="str">
        <f>'5 Local Law 97 Analysis'!D18</f>
        <v/>
      </c>
      <c r="D41" s="102" t="e">
        <f>'5 Local Law 97 Analysis'!D22</f>
        <v>#VALUE!</v>
      </c>
      <c r="E41" s="102" t="str">
        <f>IFERROR(C41-D41,"")</f>
        <v/>
      </c>
      <c r="F41" s="103" t="e">
        <f>IF(AND(C41=0, D41=0),"No penalty",IFERROR((C41-D41)/C41,"No penalty"))</f>
        <v>#VALUE!</v>
      </c>
      <c r="H41" s="97"/>
    </row>
    <row r="42" spans="2:8" s="44" customFormat="1" ht="15" customHeight="1" x14ac:dyDescent="0.3">
      <c r="B42" s="101" t="s">
        <v>584</v>
      </c>
      <c r="C42" s="102" t="str">
        <f>'5 Local Law 97 Analysis'!E18</f>
        <v/>
      </c>
      <c r="D42" s="102" t="e">
        <f>'5 Local Law 97 Analysis'!E22</f>
        <v>#VALUE!</v>
      </c>
      <c r="E42" s="102" t="str">
        <f t="shared" ref="E42:E44" si="1">IFERROR(C42-D42,"")</f>
        <v/>
      </c>
      <c r="F42" s="103" t="e">
        <f>IF(AND(C42=0, D42=0),"No penalty",IFERROR((C42-D42)/C42,"No penalty"))</f>
        <v>#VALUE!</v>
      </c>
      <c r="H42" s="97"/>
    </row>
    <row r="43" spans="2:8" s="44" customFormat="1" ht="15" customHeight="1" x14ac:dyDescent="0.3">
      <c r="B43" s="101" t="s">
        <v>585</v>
      </c>
      <c r="C43" s="102" t="str">
        <f>'5 Local Law 97 Analysis'!F18</f>
        <v/>
      </c>
      <c r="D43" s="102" t="e">
        <f>'5 Local Law 97 Analysis'!F22</f>
        <v>#VALUE!</v>
      </c>
      <c r="E43" s="102" t="str">
        <f t="shared" si="1"/>
        <v/>
      </c>
      <c r="F43" s="103" t="e">
        <f>IF(AND(C43=0, D43=0),"No penalty",IFERROR((C43-D43)/C43,"No penalty"))</f>
        <v>#VALUE!</v>
      </c>
      <c r="H43" s="64"/>
    </row>
    <row r="44" spans="2:8" s="44" customFormat="1" ht="15" customHeight="1" x14ac:dyDescent="0.3">
      <c r="B44" s="101" t="s">
        <v>586</v>
      </c>
      <c r="C44" s="102" t="str">
        <f>'5 Local Law 97 Analysis'!G18</f>
        <v/>
      </c>
      <c r="D44" s="102" t="e">
        <f>'5 Local Law 97 Analysis'!G22</f>
        <v>#VALUE!</v>
      </c>
      <c r="E44" s="102" t="str">
        <f t="shared" si="1"/>
        <v/>
      </c>
      <c r="F44" s="103" t="e">
        <f>IF(AND(C44=0, D44=0),"No penalty",IFERROR((C44-D44)/C44,"No penalty"))</f>
        <v>#VALUE!</v>
      </c>
      <c r="H44" s="64"/>
    </row>
    <row r="45" spans="2:8" s="44" customFormat="1" ht="15" customHeight="1" thickBot="1" x14ac:dyDescent="0.35">
      <c r="B45" s="88"/>
      <c r="C45" s="89"/>
      <c r="D45" s="90"/>
      <c r="E45" s="90"/>
      <c r="F45" s="91"/>
      <c r="H45" s="97"/>
    </row>
    <row r="46" spans="2:8" s="44" customFormat="1" ht="15" customHeight="1" x14ac:dyDescent="0.3">
      <c r="B46" s="385" t="s">
        <v>480</v>
      </c>
      <c r="C46" s="386"/>
      <c r="D46" s="387"/>
      <c r="E46" s="104"/>
      <c r="F46" s="105"/>
      <c r="H46" s="97"/>
    </row>
    <row r="47" spans="2:8" s="44" customFormat="1" ht="15" customHeight="1" x14ac:dyDescent="0.3">
      <c r="B47" s="383" t="s">
        <v>479</v>
      </c>
      <c r="C47" s="384"/>
      <c r="D47" s="384"/>
      <c r="E47" s="106">
        <f>E36+E38</f>
        <v>0</v>
      </c>
      <c r="F47" s="107"/>
      <c r="H47" s="97"/>
    </row>
    <row r="48" spans="2:8" s="44" customFormat="1" ht="15" customHeight="1" x14ac:dyDescent="0.3">
      <c r="B48" s="383" t="s">
        <v>588</v>
      </c>
      <c r="C48" s="384"/>
      <c r="D48" s="384"/>
      <c r="E48" s="106">
        <f>IFERROR($E$36+$E$38+E41,0)</f>
        <v>0</v>
      </c>
      <c r="F48" s="107"/>
      <c r="G48" s="64"/>
      <c r="H48" s="64"/>
    </row>
    <row r="49" spans="2:8" s="44" customFormat="1" ht="15" customHeight="1" x14ac:dyDescent="0.3">
      <c r="B49" s="383" t="s">
        <v>589</v>
      </c>
      <c r="C49" s="384"/>
      <c r="D49" s="384"/>
      <c r="E49" s="106">
        <f t="shared" ref="E49:E51" si="2">IFERROR($E$36+$E$38+E42,0)</f>
        <v>0</v>
      </c>
      <c r="F49" s="107"/>
      <c r="G49" s="64"/>
      <c r="H49" s="64"/>
    </row>
    <row r="50" spans="2:8" s="44" customFormat="1" ht="15" customHeight="1" x14ac:dyDescent="0.3">
      <c r="B50" s="383" t="s">
        <v>590</v>
      </c>
      <c r="C50" s="384"/>
      <c r="D50" s="384"/>
      <c r="E50" s="106">
        <f t="shared" si="2"/>
        <v>0</v>
      </c>
      <c r="F50" s="108"/>
      <c r="G50" s="64"/>
      <c r="H50" s="64"/>
    </row>
    <row r="51" spans="2:8" s="44" customFormat="1" ht="15" customHeight="1" thickBot="1" x14ac:dyDescent="0.35">
      <c r="B51" s="381" t="s">
        <v>591</v>
      </c>
      <c r="C51" s="382"/>
      <c r="D51" s="382"/>
      <c r="E51" s="109">
        <f t="shared" si="2"/>
        <v>0</v>
      </c>
      <c r="F51" s="110"/>
      <c r="H51" s="97"/>
    </row>
    <row r="52" spans="2:8" s="44" customFormat="1" ht="14.7" customHeight="1" x14ac:dyDescent="0.3">
      <c r="H52" s="97"/>
    </row>
    <row r="53" spans="2:8" s="44" customFormat="1" ht="28.2" customHeight="1" x14ac:dyDescent="0.3">
      <c r="B53" s="363" t="s">
        <v>680</v>
      </c>
      <c r="C53" s="363"/>
      <c r="D53" s="363"/>
      <c r="E53" s="363"/>
      <c r="F53" s="363"/>
    </row>
    <row r="54" spans="2:8" s="44" customFormat="1" ht="22.2" customHeight="1" x14ac:dyDescent="0.3">
      <c r="B54" s="364" t="s">
        <v>681</v>
      </c>
      <c r="C54" s="364"/>
      <c r="D54" s="365" t="s">
        <v>487</v>
      </c>
      <c r="E54" s="365"/>
      <c r="F54" s="111"/>
    </row>
    <row r="55" spans="2:8" s="44" customFormat="1" ht="18" customHeight="1" x14ac:dyDescent="0.3">
      <c r="B55" s="363" t="s">
        <v>682</v>
      </c>
      <c r="C55" s="363"/>
      <c r="D55" s="363"/>
      <c r="E55" s="363"/>
      <c r="F55" s="363"/>
    </row>
    <row r="56" spans="2:8" ht="36" customHeight="1" x14ac:dyDescent="0.3">
      <c r="B56" s="363" t="s">
        <v>683</v>
      </c>
      <c r="C56" s="363"/>
      <c r="D56" s="363"/>
      <c r="E56" s="363"/>
      <c r="F56" s="363"/>
    </row>
    <row r="57" spans="2:8" x14ac:dyDescent="0.3">
      <c r="B57" s="112"/>
    </row>
  </sheetData>
  <sheetProtection algorithmName="SHA-512" hashValue="idMFvpq2AChBohgXnIGH3asiVGT7LbgN7uYVXHfFEn8hStGE3hCz9PgqTxqaxOW3+0jD0dW2XHZjJs87PRbzkQ==" saltValue="qBb/qXGwlS1oZO3by/bCsw==" spinCount="100000" sheet="1" objects="1" scenarios="1"/>
  <protectedRanges>
    <protectedRange sqref="C10:F15" name="Range1"/>
  </protectedRanges>
  <mergeCells count="19">
    <mergeCell ref="B20:F20"/>
    <mergeCell ref="C14:F14"/>
    <mergeCell ref="B16:F16"/>
    <mergeCell ref="B51:D51"/>
    <mergeCell ref="B49:D49"/>
    <mergeCell ref="B48:D48"/>
    <mergeCell ref="B47:D47"/>
    <mergeCell ref="B46:D46"/>
    <mergeCell ref="B50:D50"/>
    <mergeCell ref="B9:F9"/>
    <mergeCell ref="C13:F13"/>
    <mergeCell ref="C12:F12"/>
    <mergeCell ref="C11:F11"/>
    <mergeCell ref="C10:F10"/>
    <mergeCell ref="B53:F53"/>
    <mergeCell ref="B54:C54"/>
    <mergeCell ref="B55:F55"/>
    <mergeCell ref="B56:F56"/>
    <mergeCell ref="D54:E54"/>
  </mergeCells>
  <hyperlinks>
    <hyperlink ref="D54" r:id="rId1" xr:uid="{7CA58039-729A-4037-BA33-69E3E3DB1EFE}"/>
  </hyperlinks>
  <pageMargins left="0.7" right="0.7" top="0.75" bottom="0.75" header="0.3" footer="0.3"/>
  <pageSetup scale="53" orientation="portrait" horizontalDpi="1200" verticalDpi="1200" r:id="rId2"/>
  <ignoredErrors>
    <ignoredError sqref="C15" unlocked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20B2-5243-4A1B-973E-D9B228B641A9}">
  <sheetPr codeName="Sheet2">
    <tabColor theme="9" tint="0.79998168889431442"/>
  </sheetPr>
  <dimension ref="A1:G53"/>
  <sheetViews>
    <sheetView showGridLines="0" zoomScale="70" zoomScaleNormal="70" workbookViewId="0">
      <selection activeCell="F12" sqref="F12"/>
    </sheetView>
  </sheetViews>
  <sheetFormatPr defaultColWidth="0" defaultRowHeight="14.4" zeroHeight="1" x14ac:dyDescent="0.3"/>
  <cols>
    <col min="1" max="1" width="1.5546875" customWidth="1"/>
    <col min="2" max="2" width="38.6640625" customWidth="1"/>
    <col min="3" max="6" width="22.33203125" customWidth="1"/>
    <col min="7" max="7" width="8.6640625" customWidth="1"/>
    <col min="8" max="16384" width="8.6640625" hidden="1"/>
  </cols>
  <sheetData>
    <row r="1" spans="1:6" ht="9" customHeight="1" x14ac:dyDescent="0.3"/>
    <row r="2" spans="1:6" ht="15.6" x14ac:dyDescent="0.3">
      <c r="B2" s="119" t="s">
        <v>500</v>
      </c>
    </row>
    <row r="3" spans="1:6" ht="9" customHeight="1" x14ac:dyDescent="0.3"/>
    <row r="4" spans="1:6" x14ac:dyDescent="0.3">
      <c r="B4" s="120" t="s">
        <v>601</v>
      </c>
    </row>
    <row r="5" spans="1:6" ht="18" customHeight="1" x14ac:dyDescent="0.3">
      <c r="B5" s="390" t="s">
        <v>501</v>
      </c>
      <c r="C5" s="390"/>
      <c r="D5" s="390"/>
      <c r="E5" s="390"/>
      <c r="F5" s="390"/>
    </row>
    <row r="6" spans="1:6" x14ac:dyDescent="0.3">
      <c r="B6" s="121"/>
      <c r="C6" s="122" t="s">
        <v>651</v>
      </c>
      <c r="D6" s="122" t="s">
        <v>664</v>
      </c>
      <c r="E6" s="122" t="s">
        <v>434</v>
      </c>
      <c r="F6" s="122" t="s">
        <v>436</v>
      </c>
    </row>
    <row r="7" spans="1:6" x14ac:dyDescent="0.3">
      <c r="B7" s="123" t="s">
        <v>502</v>
      </c>
      <c r="C7" s="124">
        <f>'1 Summary'!C28</f>
        <v>0</v>
      </c>
      <c r="D7" s="124">
        <f>'1 Summary'!D28</f>
        <v>0</v>
      </c>
      <c r="E7" s="124">
        <f>'1 Summary'!E28</f>
        <v>0</v>
      </c>
      <c r="F7" s="125" t="str">
        <f>'1 Summary'!F28</f>
        <v/>
      </c>
    </row>
    <row r="8" spans="1:6" x14ac:dyDescent="0.3">
      <c r="B8" s="123" t="s">
        <v>503</v>
      </c>
      <c r="C8" s="126">
        <f>'1 Summary'!C36</f>
        <v>0</v>
      </c>
      <c r="D8" s="126">
        <f>'1 Summary'!D36</f>
        <v>0</v>
      </c>
      <c r="E8" s="126">
        <f>'1 Summary'!E36</f>
        <v>0</v>
      </c>
      <c r="F8" s="127" t="str">
        <f>'1 Summary'!F36</f>
        <v/>
      </c>
    </row>
    <row r="9" spans="1:6" ht="18" customHeight="1" x14ac:dyDescent="0.3">
      <c r="B9" s="391" t="s">
        <v>504</v>
      </c>
      <c r="C9" s="391"/>
      <c r="D9" s="391"/>
      <c r="E9" s="391"/>
      <c r="F9" s="390"/>
    </row>
    <row r="10" spans="1:6" x14ac:dyDescent="0.3">
      <c r="B10" s="128"/>
      <c r="C10" s="129"/>
      <c r="D10" s="129"/>
      <c r="E10" s="130"/>
      <c r="F10" s="130" t="s">
        <v>505</v>
      </c>
    </row>
    <row r="11" spans="1:6" x14ac:dyDescent="0.3">
      <c r="A11" s="57"/>
      <c r="B11" s="131" t="s">
        <v>479</v>
      </c>
      <c r="C11" s="132"/>
      <c r="D11" s="132"/>
      <c r="E11" s="133"/>
      <c r="F11" s="126">
        <f>'1 Summary'!E47</f>
        <v>0</v>
      </c>
    </row>
    <row r="12" spans="1:6" ht="16.2" x14ac:dyDescent="0.3">
      <c r="A12" s="57"/>
      <c r="B12" s="134" t="s">
        <v>602</v>
      </c>
      <c r="C12" s="135"/>
      <c r="D12" s="135"/>
      <c r="E12" s="136"/>
      <c r="F12" s="126">
        <f>'1 Summary'!E48</f>
        <v>0</v>
      </c>
    </row>
    <row r="13" spans="1:6" x14ac:dyDescent="0.3">
      <c r="A13" s="57"/>
      <c r="B13" s="134" t="s">
        <v>592</v>
      </c>
      <c r="C13" s="135"/>
      <c r="D13" s="135"/>
      <c r="E13" s="136"/>
      <c r="F13" s="126">
        <f>'1 Summary'!E49</f>
        <v>0</v>
      </c>
    </row>
    <row r="14" spans="1:6" x14ac:dyDescent="0.3">
      <c r="A14" s="57"/>
      <c r="B14" s="134" t="s">
        <v>593</v>
      </c>
      <c r="C14" s="135"/>
      <c r="D14" s="135"/>
      <c r="E14" s="136"/>
      <c r="F14" s="126">
        <f>'1 Summary'!E50</f>
        <v>0</v>
      </c>
    </row>
    <row r="15" spans="1:6" x14ac:dyDescent="0.3">
      <c r="A15" s="44"/>
      <c r="B15" s="134" t="s">
        <v>594</v>
      </c>
      <c r="C15" s="135"/>
      <c r="D15" s="135"/>
      <c r="E15" s="136"/>
      <c r="F15" s="126">
        <f>'1 Summary'!E51</f>
        <v>0</v>
      </c>
    </row>
    <row r="16" spans="1:6" ht="12.6" customHeight="1" x14ac:dyDescent="0.3">
      <c r="A16" s="44"/>
      <c r="B16" s="388" t="s">
        <v>679</v>
      </c>
      <c r="C16" s="388"/>
      <c r="D16" s="388"/>
      <c r="E16" s="388"/>
      <c r="F16" s="388"/>
    </row>
    <row r="17" spans="1:6" ht="12.6" customHeight="1" x14ac:dyDescent="0.3">
      <c r="A17" s="44"/>
      <c r="B17" s="389"/>
      <c r="C17" s="389"/>
      <c r="D17" s="389"/>
      <c r="E17" s="389"/>
      <c r="F17" s="389"/>
    </row>
    <row r="18" spans="1:6" ht="12.6" customHeight="1" x14ac:dyDescent="0.3">
      <c r="A18" s="44"/>
      <c r="B18" s="389"/>
      <c r="C18" s="389"/>
      <c r="D18" s="389"/>
      <c r="E18" s="389"/>
      <c r="F18" s="389"/>
    </row>
    <row r="19" spans="1:6" ht="12.6" customHeight="1" x14ac:dyDescent="0.3">
      <c r="A19" s="44"/>
      <c r="B19" s="389"/>
      <c r="C19" s="389"/>
      <c r="D19" s="389"/>
      <c r="E19" s="389"/>
      <c r="F19" s="389"/>
    </row>
    <row r="20" spans="1:6" x14ac:dyDescent="0.3">
      <c r="A20" s="44"/>
    </row>
    <row r="21" spans="1:6" hidden="1" x14ac:dyDescent="0.3">
      <c r="A21" s="57"/>
    </row>
    <row r="22" spans="1:6" hidden="1" x14ac:dyDescent="0.3">
      <c r="A22" s="44"/>
    </row>
    <row r="23" spans="1:6" hidden="1" x14ac:dyDescent="0.3">
      <c r="A23" s="44"/>
    </row>
    <row r="24" spans="1:6" hidden="1" x14ac:dyDescent="0.3">
      <c r="A24" s="44"/>
    </row>
    <row r="25" spans="1:6" hidden="1" x14ac:dyDescent="0.3">
      <c r="A25" s="44"/>
    </row>
    <row r="26" spans="1:6" hidden="1" x14ac:dyDescent="0.3">
      <c r="A26" s="44"/>
    </row>
    <row r="27" spans="1:6" hidden="1" x14ac:dyDescent="0.3">
      <c r="A27" s="44"/>
    </row>
    <row r="28" spans="1:6" hidden="1" x14ac:dyDescent="0.3">
      <c r="A28" s="44"/>
    </row>
    <row r="29" spans="1:6" hidden="1" x14ac:dyDescent="0.3">
      <c r="A29" s="44"/>
    </row>
    <row r="30" spans="1:6" hidden="1" x14ac:dyDescent="0.3">
      <c r="A30" s="44"/>
    </row>
    <row r="31" spans="1:6" hidden="1" x14ac:dyDescent="0.3">
      <c r="A31" s="44"/>
    </row>
    <row r="32" spans="1:6" hidden="1" x14ac:dyDescent="0.3">
      <c r="A32" s="44"/>
    </row>
    <row r="33" spans="1:1" hidden="1" x14ac:dyDescent="0.3">
      <c r="A33" s="44"/>
    </row>
    <row r="34" spans="1:1" hidden="1" x14ac:dyDescent="0.3">
      <c r="A34" s="44"/>
    </row>
    <row r="35" spans="1:1" hidden="1" x14ac:dyDescent="0.3">
      <c r="A35" s="44"/>
    </row>
    <row r="36" spans="1:1" hidden="1" x14ac:dyDescent="0.3">
      <c r="A36" s="44"/>
    </row>
    <row r="37" spans="1:1" hidden="1" x14ac:dyDescent="0.3">
      <c r="A37" s="44"/>
    </row>
    <row r="38" spans="1:1" hidden="1" x14ac:dyDescent="0.3">
      <c r="A38" s="44"/>
    </row>
    <row r="39" spans="1:1" hidden="1" x14ac:dyDescent="0.3">
      <c r="A39" s="44"/>
    </row>
    <row r="40" spans="1:1" hidden="1" x14ac:dyDescent="0.3">
      <c r="A40" s="44"/>
    </row>
    <row r="41" spans="1:1" hidden="1" x14ac:dyDescent="0.3">
      <c r="A41" s="44"/>
    </row>
    <row r="42" spans="1:1" hidden="1" x14ac:dyDescent="0.3">
      <c r="A42" s="44"/>
    </row>
    <row r="43" spans="1:1" hidden="1" x14ac:dyDescent="0.3">
      <c r="A43" s="44"/>
    </row>
    <row r="44" spans="1:1" hidden="1" x14ac:dyDescent="0.3">
      <c r="A44" s="44"/>
    </row>
    <row r="45" spans="1:1" hidden="1" x14ac:dyDescent="0.3">
      <c r="A45" s="44"/>
    </row>
    <row r="46" spans="1:1" hidden="1" x14ac:dyDescent="0.3">
      <c r="A46" s="44"/>
    </row>
    <row r="47" spans="1:1" hidden="1" x14ac:dyDescent="0.3">
      <c r="A47" s="44"/>
    </row>
    <row r="48" spans="1:1" hidden="1" x14ac:dyDescent="0.3">
      <c r="A48" s="44"/>
    </row>
    <row r="49" spans="1:1" hidden="1" x14ac:dyDescent="0.3">
      <c r="A49" s="44"/>
    </row>
    <row r="50" spans="1:1" hidden="1" x14ac:dyDescent="0.3">
      <c r="A50" s="44"/>
    </row>
    <row r="51" spans="1:1" hidden="1" x14ac:dyDescent="0.3">
      <c r="A51" s="44"/>
    </row>
    <row r="52" spans="1:1" hidden="1" x14ac:dyDescent="0.3">
      <c r="A52" s="44"/>
    </row>
    <row r="53" spans="1:1" hidden="1" x14ac:dyDescent="0.3">
      <c r="A53" s="44"/>
    </row>
  </sheetData>
  <sheetProtection algorithmName="SHA-512" hashValue="Vf0P4jVagwxANKlubkP+L2hbHM+udRwyHuA+IZCQ0nrNrHu7dSpjiP35owPQMl4zHIkZitiPCLZF1IjjFN4/yw==" saltValue="W/oD7UPnn2dR5NbXXMq7ag==" spinCount="100000" sheet="1" objects="1" scenarios="1"/>
  <mergeCells count="3">
    <mergeCell ref="B16:F19"/>
    <mergeCell ref="B5:F5"/>
    <mergeCell ref="B9:F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41BD4-319C-450A-B2EF-08CD59020522}">
  <sheetPr codeName="Sheet4">
    <tabColor theme="9" tint="0.79998168889431442"/>
  </sheetPr>
  <dimension ref="A2:AK45"/>
  <sheetViews>
    <sheetView showGridLines="0" zoomScale="70" zoomScaleNormal="70" workbookViewId="0">
      <selection activeCell="D17" sqref="D17"/>
    </sheetView>
  </sheetViews>
  <sheetFormatPr defaultColWidth="0" defaultRowHeight="14.4" x14ac:dyDescent="0.3"/>
  <cols>
    <col min="1" max="1" width="1.5546875" customWidth="1"/>
    <col min="2" max="2" width="4.6640625" customWidth="1"/>
    <col min="3" max="3" width="59.6640625" customWidth="1"/>
    <col min="4" max="4" width="72.6640625" customWidth="1"/>
    <col min="5" max="5" width="50.6640625" customWidth="1"/>
    <col min="6" max="6" width="55.6640625" customWidth="1"/>
    <col min="7" max="7" width="20.33203125" customWidth="1"/>
    <col min="8" max="8" width="29.44140625" customWidth="1"/>
    <col min="9" max="9" width="50.44140625" customWidth="1"/>
    <col min="10" max="12" width="20.5546875" customWidth="1"/>
    <col min="13" max="14" width="15.5546875" customWidth="1"/>
    <col min="15" max="15" width="18.5546875" customWidth="1"/>
    <col min="16" max="16" width="17.33203125" customWidth="1"/>
    <col min="17" max="17" width="6" customWidth="1"/>
    <col min="18" max="18" width="8.6640625" customWidth="1"/>
    <col min="19" max="19" width="11.5546875" customWidth="1"/>
    <col min="20" max="23" width="8.6640625" customWidth="1"/>
    <col min="24" max="37" width="0" hidden="1" customWidth="1"/>
    <col min="38" max="16384" width="8.6640625" hidden="1"/>
  </cols>
  <sheetData>
    <row r="2" spans="2:18" ht="16.2" x14ac:dyDescent="0.3">
      <c r="B2" s="117" t="s">
        <v>603</v>
      </c>
      <c r="C2" s="175"/>
    </row>
    <row r="3" spans="2:18" ht="15" thickBot="1" x14ac:dyDescent="0.35">
      <c r="E3" s="154"/>
      <c r="G3" s="97"/>
      <c r="I3" s="172"/>
    </row>
    <row r="4" spans="2:18" ht="23.4" customHeight="1" x14ac:dyDescent="0.3">
      <c r="B4" s="396" t="s">
        <v>613</v>
      </c>
      <c r="C4" s="397"/>
      <c r="D4" s="400" t="s">
        <v>597</v>
      </c>
      <c r="E4" s="392" t="str">
        <f>IF(D4 = "No", "Building must comply with definition of Low Carbon Building to be eligible for NYC's New Construction C-PACE program", "Provide compliance analysis and back up demonstrating building meets the requirements")</f>
        <v>Provide compliance analysis and back up demonstrating building meets the requirements</v>
      </c>
      <c r="G4" s="97"/>
      <c r="I4" s="172"/>
    </row>
    <row r="5" spans="2:18" ht="23.4" customHeight="1" thickBot="1" x14ac:dyDescent="0.35">
      <c r="B5" s="398"/>
      <c r="C5" s="399"/>
      <c r="D5" s="401"/>
      <c r="E5" s="392"/>
      <c r="G5" s="97"/>
      <c r="I5" s="172"/>
    </row>
    <row r="6" spans="2:18" ht="15" thickBot="1" x14ac:dyDescent="0.35">
      <c r="E6" s="154"/>
      <c r="G6" s="97"/>
      <c r="I6" s="172"/>
    </row>
    <row r="7" spans="2:18" x14ac:dyDescent="0.3">
      <c r="B7" s="173" t="s">
        <v>621</v>
      </c>
      <c r="C7" s="174"/>
      <c r="D7" s="176"/>
      <c r="E7" s="154"/>
      <c r="G7" s="97"/>
      <c r="I7" s="172"/>
    </row>
    <row r="8" spans="2:18" x14ac:dyDescent="0.3">
      <c r="B8" s="395" t="s">
        <v>482</v>
      </c>
      <c r="C8" s="394"/>
      <c r="D8" s="167">
        <f>SUM($P$18:$P$37)</f>
        <v>0</v>
      </c>
      <c r="E8" s="154"/>
      <c r="G8" s="168"/>
      <c r="I8" s="169"/>
    </row>
    <row r="9" spans="2:18" x14ac:dyDescent="0.3">
      <c r="B9" s="393" t="s">
        <v>649</v>
      </c>
      <c r="C9" s="394"/>
      <c r="D9" s="170" t="e">
        <f>D8/D7</f>
        <v>#DIV/0!</v>
      </c>
      <c r="E9" s="154"/>
      <c r="G9" s="166"/>
      <c r="J9" s="97"/>
    </row>
    <row r="10" spans="2:18" x14ac:dyDescent="0.3">
      <c r="B10" s="395" t="s">
        <v>669</v>
      </c>
      <c r="C10" s="394"/>
      <c r="D10" s="170">
        <f>0.3</f>
        <v>0.3</v>
      </c>
      <c r="E10" s="154"/>
      <c r="G10" s="166"/>
      <c r="J10" s="97"/>
    </row>
    <row r="11" spans="2:18" ht="14.7" customHeight="1" x14ac:dyDescent="0.3">
      <c r="B11" s="407" t="s">
        <v>616</v>
      </c>
      <c r="C11" s="394"/>
      <c r="D11" s="171">
        <v>25</v>
      </c>
      <c r="E11" s="154"/>
      <c r="G11" s="166"/>
      <c r="I11" s="64"/>
      <c r="J11" s="163"/>
    </row>
    <row r="12" spans="2:18" ht="14.7" customHeight="1" x14ac:dyDescent="0.3">
      <c r="B12" s="408" t="s">
        <v>661</v>
      </c>
      <c r="C12" s="409"/>
      <c r="D12" s="177"/>
      <c r="E12" s="154"/>
      <c r="G12" s="166"/>
      <c r="I12" s="64"/>
      <c r="J12" s="163"/>
    </row>
    <row r="13" spans="2:18" ht="15" thickBot="1" x14ac:dyDescent="0.35">
      <c r="B13" s="164" t="s">
        <v>494</v>
      </c>
      <c r="C13" s="165"/>
      <c r="D13" s="16"/>
      <c r="I13" s="44"/>
      <c r="J13" s="163"/>
    </row>
    <row r="14" spans="2:18" ht="15" customHeight="1" x14ac:dyDescent="0.3">
      <c r="D14" s="153"/>
      <c r="I14" s="64"/>
      <c r="L14" s="97"/>
      <c r="R14" s="154"/>
    </row>
    <row r="15" spans="2:18" ht="15" customHeight="1" thickBot="1" x14ac:dyDescent="0.35">
      <c r="D15" s="153"/>
      <c r="I15" s="64"/>
      <c r="L15" s="97"/>
      <c r="R15" s="154"/>
    </row>
    <row r="16" spans="2:18" s="158" customFormat="1" ht="45.6" customHeight="1" x14ac:dyDescent="0.3">
      <c r="B16" s="405" t="s">
        <v>441</v>
      </c>
      <c r="C16" s="406"/>
      <c r="D16" s="155" t="s">
        <v>442</v>
      </c>
      <c r="E16" s="156" t="s">
        <v>646</v>
      </c>
      <c r="F16" s="156" t="s">
        <v>638</v>
      </c>
      <c r="G16" s="157" t="s">
        <v>464</v>
      </c>
      <c r="H16" s="156" t="s">
        <v>645</v>
      </c>
      <c r="I16" s="157" t="s">
        <v>445</v>
      </c>
      <c r="J16" s="156" t="s">
        <v>443</v>
      </c>
      <c r="K16" s="156" t="s">
        <v>604</v>
      </c>
      <c r="L16" s="156" t="s">
        <v>444</v>
      </c>
      <c r="M16" s="156" t="s">
        <v>413</v>
      </c>
      <c r="N16" s="156" t="s">
        <v>446</v>
      </c>
      <c r="O16" s="156" t="s">
        <v>447</v>
      </c>
      <c r="P16" s="156" t="s">
        <v>672</v>
      </c>
    </row>
    <row r="17" spans="2:19" s="159" customFormat="1" ht="57" thickBot="1" x14ac:dyDescent="0.35">
      <c r="B17" s="403" t="s">
        <v>647</v>
      </c>
      <c r="C17" s="404"/>
      <c r="D17" s="160" t="s">
        <v>650</v>
      </c>
      <c r="E17" s="161" t="s">
        <v>4</v>
      </c>
      <c r="F17" s="161" t="s">
        <v>4</v>
      </c>
      <c r="G17" s="161" t="s">
        <v>421</v>
      </c>
      <c r="H17" s="161" t="s">
        <v>4</v>
      </c>
      <c r="I17" s="162"/>
      <c r="J17" s="161" t="s">
        <v>3</v>
      </c>
      <c r="K17" s="161" t="s">
        <v>422</v>
      </c>
      <c r="L17" s="161" t="s">
        <v>423</v>
      </c>
      <c r="M17" s="161" t="s">
        <v>605</v>
      </c>
      <c r="N17" s="161" t="s">
        <v>3</v>
      </c>
      <c r="O17" s="161"/>
      <c r="P17" s="161"/>
    </row>
    <row r="18" spans="2:19" x14ac:dyDescent="0.3">
      <c r="B18" s="150">
        <v>1</v>
      </c>
      <c r="C18" s="40"/>
      <c r="D18" s="37"/>
      <c r="E18" s="19"/>
      <c r="F18" s="19"/>
      <c r="G18" s="19"/>
      <c r="H18" s="19"/>
      <c r="I18" s="19"/>
      <c r="J18" s="19"/>
      <c r="K18" s="19"/>
      <c r="L18" s="19"/>
      <c r="M18" s="38"/>
      <c r="N18" s="20"/>
      <c r="O18" s="21"/>
      <c r="P18" s="147">
        <f t="shared" ref="P18:P37" si="0">M18*O18</f>
        <v>0</v>
      </c>
    </row>
    <row r="19" spans="2:19" x14ac:dyDescent="0.3">
      <c r="B19" s="151">
        <v>2</v>
      </c>
      <c r="C19" s="5"/>
      <c r="D19" s="2"/>
      <c r="E19" s="3"/>
      <c r="F19" s="3"/>
      <c r="G19" s="3"/>
      <c r="H19" s="3"/>
      <c r="I19" s="3"/>
      <c r="J19" s="6"/>
      <c r="K19" s="6"/>
      <c r="L19" s="6"/>
      <c r="M19" s="26"/>
      <c r="N19" s="4"/>
      <c r="O19" s="11"/>
      <c r="P19" s="148">
        <f t="shared" si="0"/>
        <v>0</v>
      </c>
    </row>
    <row r="20" spans="2:19" x14ac:dyDescent="0.3">
      <c r="B20" s="151">
        <v>3</v>
      </c>
      <c r="C20" s="5"/>
      <c r="D20" s="2"/>
      <c r="E20" s="3"/>
      <c r="F20" s="3"/>
      <c r="G20" s="3"/>
      <c r="H20" s="3"/>
      <c r="I20" s="3"/>
      <c r="J20" s="6"/>
      <c r="K20" s="6"/>
      <c r="L20" s="6"/>
      <c r="M20" s="26"/>
      <c r="N20" s="4"/>
      <c r="O20" s="11"/>
      <c r="P20" s="148">
        <f t="shared" si="0"/>
        <v>0</v>
      </c>
      <c r="R20" t="str">
        <f>IF(OR(D20="Loan Cap Adder: Building Enclosure, in aggregate, is  20% better than code ", D20="Loan Cap Adder:  Combined HVAC &amp; DHW are  10% or more efficient than code"),1,"")</f>
        <v/>
      </c>
      <c r="S20" t="str">
        <f>IF(D20="Loan Cap Adder: Whole-building energy use is at least 20% below code", 2,"")</f>
        <v/>
      </c>
    </row>
    <row r="21" spans="2:19" x14ac:dyDescent="0.3">
      <c r="B21" s="151">
        <v>4</v>
      </c>
      <c r="C21" s="5"/>
      <c r="D21" s="8"/>
      <c r="E21" s="3"/>
      <c r="F21" s="3"/>
      <c r="G21" s="3"/>
      <c r="H21" s="3"/>
      <c r="I21" s="3"/>
      <c r="J21" s="6"/>
      <c r="K21" s="6"/>
      <c r="L21" s="6"/>
      <c r="M21" s="26"/>
      <c r="N21" s="4"/>
      <c r="O21" s="11"/>
      <c r="P21" s="148">
        <f t="shared" si="0"/>
        <v>0</v>
      </c>
      <c r="R21" t="str">
        <f t="shared" ref="R21:R37" si="1">IF(OR(D21="Loan Cap Adder: Building Enclosure, in aggregate, is  20% better than code ", D21="Loan Cap Adder:  Combined HVAC &amp; DHW are  10% or more efficient than code"),1,"")</f>
        <v/>
      </c>
      <c r="S21" t="str">
        <f t="shared" ref="S21:S37" si="2">IF(D21="Loan Cap Adder: Whole-building energy use is at least 20% below code", 2,"")</f>
        <v/>
      </c>
    </row>
    <row r="22" spans="2:19" x14ac:dyDescent="0.3">
      <c r="B22" s="151">
        <v>5</v>
      </c>
      <c r="C22" s="5"/>
      <c r="D22" s="8"/>
      <c r="E22" s="3"/>
      <c r="F22" s="3"/>
      <c r="G22" s="3"/>
      <c r="H22" s="3"/>
      <c r="I22" s="3"/>
      <c r="J22" s="6"/>
      <c r="K22" s="6"/>
      <c r="L22" s="6"/>
      <c r="M22" s="26"/>
      <c r="N22" s="4"/>
      <c r="O22" s="11"/>
      <c r="P22" s="148">
        <f t="shared" si="0"/>
        <v>0</v>
      </c>
      <c r="R22" t="str">
        <f t="shared" si="1"/>
        <v/>
      </c>
      <c r="S22" t="str">
        <f t="shared" si="2"/>
        <v/>
      </c>
    </row>
    <row r="23" spans="2:19" x14ac:dyDescent="0.3">
      <c r="B23" s="151">
        <v>6</v>
      </c>
      <c r="C23" s="5"/>
      <c r="D23" s="8"/>
      <c r="E23" s="3"/>
      <c r="F23" s="3"/>
      <c r="G23" s="3"/>
      <c r="H23" s="3"/>
      <c r="I23" s="3"/>
      <c r="J23" s="6"/>
      <c r="K23" s="6"/>
      <c r="L23" s="6"/>
      <c r="M23" s="26"/>
      <c r="N23" s="4"/>
      <c r="O23" s="11"/>
      <c r="P23" s="148">
        <f>M23*O23</f>
        <v>0</v>
      </c>
      <c r="R23" t="str">
        <f t="shared" si="1"/>
        <v/>
      </c>
      <c r="S23" t="str">
        <f t="shared" si="2"/>
        <v/>
      </c>
    </row>
    <row r="24" spans="2:19" x14ac:dyDescent="0.3">
      <c r="B24" s="151">
        <v>7</v>
      </c>
      <c r="C24" s="5"/>
      <c r="D24" s="8"/>
      <c r="E24" s="3"/>
      <c r="F24" s="3"/>
      <c r="G24" s="3"/>
      <c r="H24" s="3"/>
      <c r="I24" s="3"/>
      <c r="J24" s="6"/>
      <c r="K24" s="6"/>
      <c r="L24" s="6"/>
      <c r="M24" s="26"/>
      <c r="N24" s="7"/>
      <c r="O24" s="11"/>
      <c r="P24" s="148">
        <f t="shared" si="0"/>
        <v>0</v>
      </c>
      <c r="R24" t="str">
        <f t="shared" si="1"/>
        <v/>
      </c>
      <c r="S24" t="str">
        <f t="shared" si="2"/>
        <v/>
      </c>
    </row>
    <row r="25" spans="2:19" x14ac:dyDescent="0.3">
      <c r="B25" s="151">
        <v>8</v>
      </c>
      <c r="C25" s="5"/>
      <c r="D25" s="8"/>
      <c r="E25" s="3"/>
      <c r="F25" s="3"/>
      <c r="G25" s="3"/>
      <c r="H25" s="3"/>
      <c r="I25" s="3"/>
      <c r="J25" s="6"/>
      <c r="K25" s="6"/>
      <c r="L25" s="6"/>
      <c r="M25" s="26"/>
      <c r="N25" s="7"/>
      <c r="O25" s="17"/>
      <c r="P25" s="149">
        <f t="shared" si="0"/>
        <v>0</v>
      </c>
      <c r="Q25" s="97"/>
      <c r="R25" t="str">
        <f t="shared" si="1"/>
        <v/>
      </c>
      <c r="S25" t="str">
        <f t="shared" si="2"/>
        <v/>
      </c>
    </row>
    <row r="26" spans="2:19" x14ac:dyDescent="0.3">
      <c r="B26" s="151">
        <v>9</v>
      </c>
      <c r="C26" s="5"/>
      <c r="D26" s="8"/>
      <c r="E26" s="3"/>
      <c r="F26" s="3"/>
      <c r="G26" s="3"/>
      <c r="H26" s="3"/>
      <c r="I26" s="6"/>
      <c r="J26" s="9"/>
      <c r="K26" s="9"/>
      <c r="L26" s="9"/>
      <c r="M26" s="27"/>
      <c r="N26" s="7"/>
      <c r="O26" s="17"/>
      <c r="P26" s="149">
        <f t="shared" si="0"/>
        <v>0</v>
      </c>
      <c r="Q26" s="97"/>
      <c r="R26" t="str">
        <f t="shared" si="1"/>
        <v/>
      </c>
      <c r="S26" t="str">
        <f t="shared" si="2"/>
        <v/>
      </c>
    </row>
    <row r="27" spans="2:19" x14ac:dyDescent="0.3">
      <c r="B27" s="151">
        <v>10</v>
      </c>
      <c r="C27" s="5"/>
      <c r="D27" s="8"/>
      <c r="E27" s="3"/>
      <c r="F27" s="3"/>
      <c r="G27" s="3"/>
      <c r="H27" s="3"/>
      <c r="I27" s="6"/>
      <c r="J27" s="9"/>
      <c r="K27" s="9"/>
      <c r="L27" s="9"/>
      <c r="M27" s="27"/>
      <c r="N27" s="7"/>
      <c r="O27" s="17"/>
      <c r="P27" s="149">
        <f t="shared" si="0"/>
        <v>0</v>
      </c>
      <c r="R27" t="str">
        <f t="shared" si="1"/>
        <v/>
      </c>
      <c r="S27" t="str">
        <f t="shared" si="2"/>
        <v/>
      </c>
    </row>
    <row r="28" spans="2:19" x14ac:dyDescent="0.3">
      <c r="B28" s="151">
        <v>11</v>
      </c>
      <c r="C28" s="5"/>
      <c r="D28" s="8"/>
      <c r="E28" s="3"/>
      <c r="F28" s="3"/>
      <c r="G28" s="3"/>
      <c r="H28" s="3"/>
      <c r="I28" s="6"/>
      <c r="J28" s="9"/>
      <c r="K28" s="9"/>
      <c r="L28" s="9"/>
      <c r="M28" s="27"/>
      <c r="N28" s="7"/>
      <c r="O28" s="17"/>
      <c r="P28" s="149">
        <f t="shared" si="0"/>
        <v>0</v>
      </c>
      <c r="R28" t="str">
        <f t="shared" si="1"/>
        <v/>
      </c>
      <c r="S28" t="str">
        <f t="shared" si="2"/>
        <v/>
      </c>
    </row>
    <row r="29" spans="2:19" x14ac:dyDescent="0.3">
      <c r="B29" s="151">
        <v>12</v>
      </c>
      <c r="C29" s="5"/>
      <c r="D29" s="8"/>
      <c r="E29" s="3"/>
      <c r="F29" s="3"/>
      <c r="G29" s="3"/>
      <c r="H29" s="3"/>
      <c r="I29" s="6"/>
      <c r="J29" s="9"/>
      <c r="K29" s="9"/>
      <c r="L29" s="9"/>
      <c r="M29" s="27"/>
      <c r="N29" s="7"/>
      <c r="O29" s="17"/>
      <c r="P29" s="149">
        <f t="shared" si="0"/>
        <v>0</v>
      </c>
      <c r="R29" t="str">
        <f t="shared" si="1"/>
        <v/>
      </c>
      <c r="S29" t="str">
        <f t="shared" si="2"/>
        <v/>
      </c>
    </row>
    <row r="30" spans="2:19" x14ac:dyDescent="0.3">
      <c r="B30" s="151">
        <v>13</v>
      </c>
      <c r="C30" s="5"/>
      <c r="D30" s="8"/>
      <c r="E30" s="3"/>
      <c r="F30" s="3"/>
      <c r="G30" s="3"/>
      <c r="H30" s="3"/>
      <c r="I30" s="6"/>
      <c r="J30" s="9"/>
      <c r="K30" s="9"/>
      <c r="L30" s="9"/>
      <c r="M30" s="27"/>
      <c r="N30" s="7"/>
      <c r="O30" s="17"/>
      <c r="P30" s="149">
        <f t="shared" si="0"/>
        <v>0</v>
      </c>
      <c r="R30" t="str">
        <f t="shared" si="1"/>
        <v/>
      </c>
      <c r="S30" t="str">
        <f t="shared" si="2"/>
        <v/>
      </c>
    </row>
    <row r="31" spans="2:19" x14ac:dyDescent="0.3">
      <c r="B31" s="151">
        <v>14</v>
      </c>
      <c r="C31" s="5"/>
      <c r="D31" s="8"/>
      <c r="E31" s="3"/>
      <c r="F31" s="3"/>
      <c r="G31" s="3"/>
      <c r="H31" s="3"/>
      <c r="I31" s="6"/>
      <c r="J31" s="9"/>
      <c r="K31" s="9"/>
      <c r="L31" s="9"/>
      <c r="M31" s="27"/>
      <c r="N31" s="10"/>
      <c r="O31" s="11"/>
      <c r="P31" s="148">
        <f t="shared" si="0"/>
        <v>0</v>
      </c>
      <c r="R31" t="str">
        <f t="shared" si="1"/>
        <v/>
      </c>
      <c r="S31" t="str">
        <f t="shared" si="2"/>
        <v/>
      </c>
    </row>
    <row r="32" spans="2:19" x14ac:dyDescent="0.3">
      <c r="B32" s="151">
        <v>15</v>
      </c>
      <c r="C32" s="5"/>
      <c r="D32" s="8"/>
      <c r="E32" s="3"/>
      <c r="F32" s="3"/>
      <c r="G32" s="3"/>
      <c r="H32" s="3"/>
      <c r="I32" s="6"/>
      <c r="J32" s="9"/>
      <c r="K32" s="9"/>
      <c r="L32" s="9"/>
      <c r="M32" s="27"/>
      <c r="N32" s="10"/>
      <c r="O32" s="11"/>
      <c r="P32" s="148">
        <f t="shared" si="0"/>
        <v>0</v>
      </c>
      <c r="R32" t="str">
        <f t="shared" si="1"/>
        <v/>
      </c>
      <c r="S32" t="str">
        <f t="shared" si="2"/>
        <v/>
      </c>
    </row>
    <row r="33" spans="2:19" x14ac:dyDescent="0.3">
      <c r="B33" s="151">
        <v>16</v>
      </c>
      <c r="C33" s="5"/>
      <c r="D33" s="8"/>
      <c r="E33" s="3"/>
      <c r="F33" s="3"/>
      <c r="G33" s="3"/>
      <c r="H33" s="3"/>
      <c r="I33" s="6"/>
      <c r="J33" s="9"/>
      <c r="K33" s="9"/>
      <c r="L33" s="9"/>
      <c r="M33" s="27"/>
      <c r="N33" s="10"/>
      <c r="O33" s="11"/>
      <c r="P33" s="148">
        <f t="shared" si="0"/>
        <v>0</v>
      </c>
      <c r="R33" t="str">
        <f t="shared" si="1"/>
        <v/>
      </c>
      <c r="S33" t="str">
        <f t="shared" si="2"/>
        <v/>
      </c>
    </row>
    <row r="34" spans="2:19" x14ac:dyDescent="0.3">
      <c r="B34" s="151">
        <v>17</v>
      </c>
      <c r="C34" s="5"/>
      <c r="D34" s="8"/>
      <c r="E34" s="3"/>
      <c r="F34" s="3"/>
      <c r="G34" s="3"/>
      <c r="H34" s="3"/>
      <c r="I34" s="6"/>
      <c r="J34" s="9"/>
      <c r="K34" s="9"/>
      <c r="L34" s="9"/>
      <c r="M34" s="27"/>
      <c r="N34" s="10"/>
      <c r="O34" s="11"/>
      <c r="P34" s="148">
        <f t="shared" si="0"/>
        <v>0</v>
      </c>
      <c r="R34" t="str">
        <f t="shared" si="1"/>
        <v/>
      </c>
      <c r="S34" t="str">
        <f t="shared" si="2"/>
        <v/>
      </c>
    </row>
    <row r="35" spans="2:19" x14ac:dyDescent="0.3">
      <c r="B35" s="151">
        <v>18</v>
      </c>
      <c r="C35" s="5"/>
      <c r="D35" s="8"/>
      <c r="E35" s="3"/>
      <c r="F35" s="3"/>
      <c r="G35" s="3"/>
      <c r="H35" s="3"/>
      <c r="I35" s="6"/>
      <c r="J35" s="9"/>
      <c r="K35" s="9"/>
      <c r="L35" s="9"/>
      <c r="M35" s="27"/>
      <c r="N35" s="10"/>
      <c r="O35" s="11"/>
      <c r="P35" s="148">
        <f t="shared" si="0"/>
        <v>0</v>
      </c>
      <c r="R35" t="str">
        <f t="shared" si="1"/>
        <v/>
      </c>
      <c r="S35" t="str">
        <f t="shared" si="2"/>
        <v/>
      </c>
    </row>
    <row r="36" spans="2:19" x14ac:dyDescent="0.3">
      <c r="B36" s="151">
        <v>19</v>
      </c>
      <c r="C36" s="5"/>
      <c r="D36" s="8"/>
      <c r="E36" s="3"/>
      <c r="F36" s="3"/>
      <c r="G36" s="3"/>
      <c r="H36" s="3"/>
      <c r="I36" s="6"/>
      <c r="J36" s="9"/>
      <c r="K36" s="9"/>
      <c r="L36" s="9"/>
      <c r="M36" s="27"/>
      <c r="N36" s="10"/>
      <c r="O36" s="11"/>
      <c r="P36" s="148">
        <f t="shared" si="0"/>
        <v>0</v>
      </c>
      <c r="R36" t="str">
        <f t="shared" si="1"/>
        <v/>
      </c>
      <c r="S36" t="str">
        <f t="shared" si="2"/>
        <v/>
      </c>
    </row>
    <row r="37" spans="2:19" x14ac:dyDescent="0.3">
      <c r="B37" s="152">
        <v>20</v>
      </c>
      <c r="C37" s="5"/>
      <c r="D37" s="8"/>
      <c r="E37" s="3"/>
      <c r="F37" s="3"/>
      <c r="G37" s="3"/>
      <c r="H37" s="3"/>
      <c r="I37" s="6"/>
      <c r="J37" s="9"/>
      <c r="K37" s="9"/>
      <c r="L37" s="9"/>
      <c r="M37" s="27"/>
      <c r="N37" s="10"/>
      <c r="O37" s="11"/>
      <c r="P37" s="148">
        <f t="shared" si="0"/>
        <v>0</v>
      </c>
      <c r="R37" t="str">
        <f t="shared" si="1"/>
        <v/>
      </c>
      <c r="S37" t="str">
        <f t="shared" si="2"/>
        <v/>
      </c>
    </row>
    <row r="38" spans="2:19" ht="15" thickBot="1" x14ac:dyDescent="0.35">
      <c r="B38" s="137"/>
      <c r="C38" s="138" t="s">
        <v>406</v>
      </c>
      <c r="D38" s="139" t="s">
        <v>491</v>
      </c>
      <c r="E38" s="139" t="s">
        <v>491</v>
      </c>
      <c r="F38" s="139" t="s">
        <v>491</v>
      </c>
      <c r="G38" s="139" t="s">
        <v>491</v>
      </c>
      <c r="H38" s="139" t="s">
        <v>491</v>
      </c>
      <c r="I38" s="139" t="s">
        <v>491</v>
      </c>
      <c r="J38" s="139" t="s">
        <v>491</v>
      </c>
      <c r="K38" s="139" t="s">
        <v>491</v>
      </c>
      <c r="L38" s="139" t="s">
        <v>491</v>
      </c>
      <c r="M38" s="140" t="s">
        <v>491</v>
      </c>
      <c r="N38" s="141" t="s">
        <v>491</v>
      </c>
      <c r="O38" s="28" t="s">
        <v>491</v>
      </c>
      <c r="P38" s="39">
        <f>SUM(P18:P37)</f>
        <v>0</v>
      </c>
    </row>
    <row r="39" spans="2:19" ht="18" customHeight="1" x14ac:dyDescent="0.3"/>
    <row r="40" spans="2:19" s="142" customFormat="1" ht="25.8" customHeight="1" x14ac:dyDescent="0.3">
      <c r="B40" s="402" t="s">
        <v>675</v>
      </c>
      <c r="C40" s="402"/>
      <c r="D40" s="402"/>
      <c r="E40" s="402"/>
      <c r="F40" s="402"/>
      <c r="G40" s="402"/>
      <c r="H40" s="143"/>
      <c r="I40" s="143"/>
    </row>
    <row r="41" spans="2:19" s="142" customFormat="1" ht="38.4" customHeight="1" x14ac:dyDescent="0.3">
      <c r="B41" s="402" t="s">
        <v>676</v>
      </c>
      <c r="C41" s="402"/>
      <c r="D41" s="402"/>
      <c r="E41" s="402"/>
      <c r="F41" s="402"/>
      <c r="G41" s="402"/>
      <c r="H41" s="143"/>
      <c r="I41" s="143"/>
    </row>
    <row r="42" spans="2:19" s="142" customFormat="1" ht="38.4" customHeight="1" x14ac:dyDescent="0.3">
      <c r="B42" s="402" t="s">
        <v>677</v>
      </c>
      <c r="C42" s="402"/>
      <c r="D42" s="402"/>
      <c r="E42" s="402"/>
      <c r="F42" s="402"/>
      <c r="G42" s="402"/>
      <c r="H42" s="143"/>
      <c r="I42" s="143"/>
    </row>
    <row r="43" spans="2:19" s="142" customFormat="1" ht="18" customHeight="1" x14ac:dyDescent="0.3">
      <c r="C43" s="144" t="s">
        <v>678</v>
      </c>
      <c r="E43" s="35"/>
      <c r="F43" s="35"/>
      <c r="G43" s="145"/>
      <c r="H43" s="145"/>
      <c r="I43" s="145"/>
    </row>
    <row r="44" spans="2:19" s="142" customFormat="1" ht="18" customHeight="1" x14ac:dyDescent="0.3">
      <c r="C44" s="146" t="s">
        <v>671</v>
      </c>
      <c r="D44" s="36" t="s">
        <v>486</v>
      </c>
      <c r="E44" s="35"/>
      <c r="F44" s="35"/>
      <c r="G44" s="145"/>
      <c r="H44" s="145"/>
      <c r="I44" s="145"/>
    </row>
    <row r="45" spans="2:19" s="142" customFormat="1" ht="18" customHeight="1" x14ac:dyDescent="0.3">
      <c r="B45" s="36"/>
      <c r="C45" s="146" t="s">
        <v>670</v>
      </c>
      <c r="D45" s="36" t="s">
        <v>668</v>
      </c>
      <c r="E45" s="35"/>
      <c r="F45" s="35"/>
      <c r="G45" s="145"/>
      <c r="H45" s="145"/>
      <c r="I45" s="145"/>
    </row>
  </sheetData>
  <sheetProtection algorithmName="SHA-512" hashValue="s/z/SQN7dh3OH9ntedwfs5yFIQYAy1zIsnUXx/KTtY8b8KpNHKVg8oxy37RJKCQLm2EaiIwe7OppPpxsDzg+Vw==" saltValue="onaZPO+1JNE3QahNC1qcVA==" spinCount="100000" sheet="1" objects="1" scenarios="1"/>
  <dataConsolidate/>
  <mergeCells count="13">
    <mergeCell ref="B40:G40"/>
    <mergeCell ref="B41:G41"/>
    <mergeCell ref="B42:G42"/>
    <mergeCell ref="B8:C8"/>
    <mergeCell ref="B17:C17"/>
    <mergeCell ref="B16:C16"/>
    <mergeCell ref="B11:C11"/>
    <mergeCell ref="B12:C12"/>
    <mergeCell ref="E4:E5"/>
    <mergeCell ref="B9:C9"/>
    <mergeCell ref="B10:C10"/>
    <mergeCell ref="B4:C5"/>
    <mergeCell ref="D4:D5"/>
  </mergeCells>
  <phoneticPr fontId="13" type="noConversion"/>
  <conditionalFormatting sqref="D9">
    <cfRule type="expression" dxfId="36" priority="1">
      <formula>$D$9&gt;$D$10</formula>
    </cfRule>
  </conditionalFormatting>
  <conditionalFormatting sqref="E4:E5">
    <cfRule type="expression" dxfId="35" priority="16">
      <formula>$D$4</formula>
    </cfRule>
  </conditionalFormatting>
  <conditionalFormatting sqref="E18:F37 P18:P37">
    <cfRule type="expression" dxfId="34" priority="9">
      <formula>$D18="Renewable Energy System - Prequalified for New Construction"</formula>
    </cfRule>
    <cfRule type="expression" dxfId="33" priority="25">
      <formula>$D18="Renewable Energy System"</formula>
    </cfRule>
  </conditionalFormatting>
  <conditionalFormatting sqref="E18:G37 I18:O37">
    <cfRule type="expression" dxfId="32" priority="26">
      <formula>$D18="Energy Efficiency Improvement"</formula>
    </cfRule>
  </conditionalFormatting>
  <conditionalFormatting sqref="E18:G37 J18:O37">
    <cfRule type="expression" dxfId="31" priority="12">
      <formula>$D18="Prequalified Low Carbon Building Measures for New Construction"</formula>
    </cfRule>
  </conditionalFormatting>
  <conditionalFormatting sqref="E18:P37">
    <cfRule type="expression" dxfId="30" priority="3">
      <formula>$D18="Loan Cap Adder: Building Enclosure, in aggregate, is  20% better than code "</formula>
    </cfRule>
    <cfRule type="expression" dxfId="29" priority="5">
      <formula>$D18="Loan Cap Adder: Whole-building energy use is at least 20% below code"</formula>
    </cfRule>
    <cfRule type="expression" dxfId="28" priority="7">
      <formula>$D18="Loan Cap Adder:  Combined HVAC &amp; DHW are  10% or more efficient than code"</formula>
    </cfRule>
    <cfRule type="expression" dxfId="27" priority="17">
      <formula>ISBLANK($D18)</formula>
    </cfRule>
    <cfRule type="expression" dxfId="26" priority="30">
      <formula>$D18="Eligible Soft Cost"</formula>
    </cfRule>
    <cfRule type="expression" dxfId="25" priority="32">
      <formula>$D18="Ancillary Measure – Required to Implement Energy Improvement"</formula>
    </cfRule>
    <cfRule type="expression" dxfId="24" priority="40">
      <formula>$D18="Ancillary Measure – Energy-Related Health and Safety"</formula>
    </cfRule>
  </conditionalFormatting>
  <conditionalFormatting sqref="G18:O37">
    <cfRule type="expression" dxfId="23" priority="8">
      <formula>$D18="Renewable Energy System - Prequalified for New Construction"</formula>
    </cfRule>
    <cfRule type="expression" dxfId="22" priority="24">
      <formula>$D18="Renewable Energy System"</formula>
    </cfRule>
  </conditionalFormatting>
  <conditionalFormatting sqref="H18:H37 P18:P37">
    <cfRule type="expression" dxfId="21" priority="27">
      <formula>$D18="Energy Efficiency Improvement"</formula>
    </cfRule>
  </conditionalFormatting>
  <conditionalFormatting sqref="H18:I37 P18:P37">
    <cfRule type="expression" dxfId="20" priority="13">
      <formula>$D18="Prequalified Low Carbon Building Measures for New Construction"</formula>
    </cfRule>
  </conditionalFormatting>
  <conditionalFormatting sqref="J18:J37 M18:O37">
    <cfRule type="expression" dxfId="19" priority="31">
      <formula>$D18="Ancillary Measure – Required to Implement Energy Improvement"</formula>
    </cfRule>
    <cfRule type="expression" dxfId="18" priority="36">
      <formula>$D18="Ancillary Measure – Energy-Related Health and Safety"</formula>
    </cfRule>
  </conditionalFormatting>
  <conditionalFormatting sqref="M18:M37 O18:O37">
    <cfRule type="expression" dxfId="17" priority="28">
      <formula>$D18="Eligible Soft Cost"</formula>
    </cfRule>
  </conditionalFormatting>
  <dataValidations count="6">
    <dataValidation type="list" allowBlank="1" showInputMessage="1" showErrorMessage="1" sqref="N18:N37" xr:uid="{714F5D2E-984A-4F20-927E-CD3E692612C2}">
      <formula1>units</formula1>
    </dataValidation>
    <dataValidation type="list" allowBlank="1" showInputMessage="1" showErrorMessage="1" sqref="H18:H37" xr:uid="{FFCACC08-37AB-485F-B6B5-E17CC777B389}">
      <formula1>re_systems</formula1>
    </dataValidation>
    <dataValidation type="list" allowBlank="1" showInputMessage="1" showErrorMessage="1" sqref="D18:D37" xr:uid="{FA877C0A-489D-4E0D-BD3E-367E5D82655B}">
      <formula1>measure_types</formula1>
    </dataValidation>
    <dataValidation type="list" allowBlank="1" showInputMessage="1" showErrorMessage="1" sqref="J18:J37" xr:uid="{2DD8C1D4-EBCF-443D-A8BF-0E8568E295E1}">
      <formula1>locations</formula1>
    </dataValidation>
    <dataValidation type="list" allowBlank="1" showInputMessage="1" showErrorMessage="1" sqref="E18 E20:E37 E19" xr:uid="{A9BCBD03-AA11-479C-B741-3732AFE708AE}">
      <formula1>nc_categories</formula1>
    </dataValidation>
    <dataValidation type="list" allowBlank="1" showInputMessage="1" showErrorMessage="1" sqref="F19:F37 F18" xr:uid="{65BDBC6B-A988-4494-BFAA-2F2F20E4B16B}">
      <formula1>INDIRECT(E18)</formula1>
    </dataValidation>
  </dataValidations>
  <hyperlinks>
    <hyperlink ref="D44" r:id="rId1" xr:uid="{F9B8EDFD-BEB3-4BD8-9C7D-43080F6BC098}"/>
    <hyperlink ref="D45" r:id="rId2" xr:uid="{EB78D35E-509A-4C27-BC9F-CA57FEA6D48E}"/>
  </hyperlinks>
  <pageMargins left="0.7" right="0.7" top="0.75" bottom="0.75" header="0.3" footer="0.3"/>
  <pageSetup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9F23FC21-0D1B-4DB4-B320-B96F7DE75F1C}">
          <x14:formula1>
            <xm:f>Backup!$D$11:$D$12</xm:f>
          </x14:formula1>
          <xm:sqref>D4:D5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1A0F-F7F6-4AEF-B432-5AA8EDC9D122}">
  <sheetPr codeName="Sheet5">
    <tabColor theme="9" tint="0.79998168889431442"/>
  </sheetPr>
  <dimension ref="A1:AD83"/>
  <sheetViews>
    <sheetView showGridLines="0" zoomScale="55" zoomScaleNormal="55" workbookViewId="0">
      <selection activeCell="O47" sqref="O47"/>
    </sheetView>
  </sheetViews>
  <sheetFormatPr defaultColWidth="0" defaultRowHeight="14.4" zeroHeight="1" x14ac:dyDescent="0.3"/>
  <cols>
    <col min="1" max="1" width="1.5546875" customWidth="1"/>
    <col min="2" max="2" width="3.5546875" customWidth="1"/>
    <col min="3" max="3" width="20.6640625" customWidth="1"/>
    <col min="4" max="4" width="32.33203125" customWidth="1"/>
    <col min="5" max="5" width="21.44140625" customWidth="1"/>
    <col min="6" max="6" width="20.5546875" customWidth="1"/>
    <col min="7" max="7" width="15.6640625" customWidth="1"/>
    <col min="8" max="8" width="16.6640625" customWidth="1"/>
    <col min="9" max="9" width="14.5546875" customWidth="1"/>
    <col min="10" max="10" width="15.5546875" customWidth="1"/>
    <col min="11" max="11" width="14.5546875" customWidth="1"/>
    <col min="12" max="12" width="15.5546875" customWidth="1"/>
    <col min="13" max="13" width="14.5546875" customWidth="1"/>
    <col min="14" max="14" width="15.6640625" customWidth="1"/>
    <col min="15" max="20" width="29.44140625" customWidth="1"/>
    <col min="21" max="22" width="21.6640625" customWidth="1"/>
    <col min="23" max="23" width="14.5546875" customWidth="1"/>
    <col min="24" max="25" width="9.33203125" customWidth="1"/>
    <col min="26" max="28" width="9.33203125" hidden="1" customWidth="1"/>
    <col min="29" max="30" width="0" hidden="1" customWidth="1"/>
    <col min="31" max="16384" width="9.33203125" hidden="1"/>
  </cols>
  <sheetData>
    <row r="1" spans="2:22" ht="28.5" customHeight="1" x14ac:dyDescent="0.3"/>
    <row r="2" spans="2:22" ht="113.4" customHeight="1" thickBot="1" x14ac:dyDescent="0.35">
      <c r="B2" s="154" t="s">
        <v>440</v>
      </c>
      <c r="N2" s="179"/>
    </row>
    <row r="3" spans="2:22" ht="16.8" thickBot="1" x14ac:dyDescent="0.35">
      <c r="E3" s="153"/>
      <c r="H3" s="415" t="s">
        <v>407</v>
      </c>
      <c r="I3" s="416"/>
      <c r="J3" s="415" t="s">
        <v>408</v>
      </c>
      <c r="K3" s="416"/>
      <c r="L3" s="415" t="s">
        <v>572</v>
      </c>
      <c r="M3" s="416"/>
      <c r="N3" s="415" t="s">
        <v>607</v>
      </c>
      <c r="O3" s="416"/>
      <c r="P3" s="153"/>
      <c r="Q3" s="180" t="s">
        <v>656</v>
      </c>
    </row>
    <row r="4" spans="2:22" s="186" customFormat="1" ht="28.8" x14ac:dyDescent="0.3">
      <c r="B4" s="417" t="s">
        <v>455</v>
      </c>
      <c r="C4" s="418"/>
      <c r="D4" s="181" t="s">
        <v>5</v>
      </c>
      <c r="E4" s="181" t="s">
        <v>451</v>
      </c>
      <c r="F4" s="181" t="s">
        <v>452</v>
      </c>
      <c r="G4" s="182" t="s">
        <v>451</v>
      </c>
      <c r="H4" s="183" t="s">
        <v>453</v>
      </c>
      <c r="I4" s="184" t="s">
        <v>454</v>
      </c>
      <c r="J4" s="185" t="s">
        <v>453</v>
      </c>
      <c r="K4" s="184" t="s">
        <v>454</v>
      </c>
      <c r="L4" s="185" t="s">
        <v>453</v>
      </c>
      <c r="M4" s="184" t="s">
        <v>454</v>
      </c>
      <c r="N4" s="183" t="s">
        <v>453</v>
      </c>
      <c r="O4" s="184" t="s">
        <v>454</v>
      </c>
      <c r="Q4" s="187" t="s">
        <v>455</v>
      </c>
      <c r="R4" s="181" t="s">
        <v>5</v>
      </c>
      <c r="S4" s="181" t="s">
        <v>451</v>
      </c>
      <c r="T4" s="182" t="s">
        <v>451</v>
      </c>
      <c r="U4" s="184" t="s">
        <v>659</v>
      </c>
    </row>
    <row r="5" spans="2:22" s="197" customFormat="1" ht="14.85" customHeight="1" thickBot="1" x14ac:dyDescent="0.35">
      <c r="B5" s="188"/>
      <c r="C5" s="189"/>
      <c r="D5" s="190"/>
      <c r="E5" s="191" t="s">
        <v>595</v>
      </c>
      <c r="F5" s="190" t="s">
        <v>415</v>
      </c>
      <c r="G5" s="192" t="s">
        <v>410</v>
      </c>
      <c r="H5" s="193" t="s">
        <v>608</v>
      </c>
      <c r="I5" s="194" t="s">
        <v>411</v>
      </c>
      <c r="J5" s="195"/>
      <c r="K5" s="194" t="s">
        <v>411</v>
      </c>
      <c r="L5" s="195"/>
      <c r="M5" s="194" t="s">
        <v>411</v>
      </c>
      <c r="N5" s="196"/>
      <c r="O5" s="194" t="s">
        <v>411</v>
      </c>
      <c r="Q5" s="188"/>
      <c r="R5" s="190"/>
      <c r="S5" s="191" t="s">
        <v>655</v>
      </c>
      <c r="T5" s="192" t="s">
        <v>410</v>
      </c>
      <c r="U5" s="194"/>
    </row>
    <row r="6" spans="2:22" x14ac:dyDescent="0.3">
      <c r="B6" s="423" t="s">
        <v>0</v>
      </c>
      <c r="C6" s="424"/>
      <c r="D6" s="198" t="s">
        <v>404</v>
      </c>
      <c r="E6" s="23"/>
      <c r="F6" s="24"/>
      <c r="G6" s="199">
        <f>$E$6*Backup!$J$3/1000</f>
        <v>0</v>
      </c>
      <c r="H6" s="200">
        <v>2.8896199999999998E-4</v>
      </c>
      <c r="I6" s="201">
        <f>$E$6*$H$6</f>
        <v>0</v>
      </c>
      <c r="J6" s="202">
        <v>1.45E-4</v>
      </c>
      <c r="K6" s="203">
        <f>$E$6*$J$6</f>
        <v>0</v>
      </c>
      <c r="L6" s="202">
        <f>J6</f>
        <v>1.45E-4</v>
      </c>
      <c r="M6" s="203">
        <f>$E$6*$L$6</f>
        <v>0</v>
      </c>
      <c r="N6" s="204">
        <f>L6</f>
        <v>1.45E-4</v>
      </c>
      <c r="O6" s="203">
        <f>E6*N6</f>
        <v>0</v>
      </c>
      <c r="Q6" s="205" t="s">
        <v>0</v>
      </c>
      <c r="R6" s="206" t="s">
        <v>404</v>
      </c>
      <c r="S6" s="207">
        <f>E6-J18</f>
        <v>0</v>
      </c>
      <c r="T6" s="207">
        <f>$S$6*Backup!$J$3/1000</f>
        <v>0</v>
      </c>
      <c r="U6" s="208"/>
    </row>
    <row r="7" spans="2:22" x14ac:dyDescent="0.3">
      <c r="B7" s="421" t="s">
        <v>463</v>
      </c>
      <c r="C7" s="422"/>
      <c r="D7" s="210" t="s">
        <v>403</v>
      </c>
      <c r="E7" s="1"/>
      <c r="F7" s="24"/>
      <c r="G7" s="211">
        <f>$E$7*Backup!$J$4/1000</f>
        <v>0</v>
      </c>
      <c r="H7" s="204">
        <v>5.3109999999999998E-5</v>
      </c>
      <c r="I7" s="212">
        <f>$G$7*$H$7</f>
        <v>0</v>
      </c>
      <c r="J7" s="213">
        <v>5.3109999999999998E-5</v>
      </c>
      <c r="K7" s="212">
        <f>$G$7*$J$7</f>
        <v>0</v>
      </c>
      <c r="L7" s="213">
        <f>J7</f>
        <v>5.3109999999999998E-5</v>
      </c>
      <c r="M7" s="212">
        <f>$G$7*$L$7</f>
        <v>0</v>
      </c>
      <c r="N7" s="214">
        <f>L7</f>
        <v>5.3109999999999998E-5</v>
      </c>
      <c r="O7" s="203">
        <f t="shared" ref="O7:O10" si="0">G7*N7</f>
        <v>0</v>
      </c>
      <c r="Q7" s="215" t="s">
        <v>463</v>
      </c>
      <c r="R7" s="210" t="s">
        <v>403</v>
      </c>
      <c r="S7" s="211">
        <f>E7-K18</f>
        <v>0</v>
      </c>
      <c r="T7" s="211">
        <f>$S$7*Backup!$J$4/1000</f>
        <v>0</v>
      </c>
      <c r="U7" s="216"/>
    </row>
    <row r="8" spans="2:22" x14ac:dyDescent="0.3">
      <c r="B8" s="421" t="s">
        <v>449</v>
      </c>
      <c r="C8" s="422"/>
      <c r="D8" s="210" t="s">
        <v>401</v>
      </c>
      <c r="E8" s="1"/>
      <c r="F8" s="24"/>
      <c r="G8" s="211">
        <f>$E$8*Backup!$J$5/1000</f>
        <v>0</v>
      </c>
      <c r="H8" s="214">
        <v>7.4209999999999996E-5</v>
      </c>
      <c r="I8" s="212">
        <f>$G$8*$H$8</f>
        <v>0</v>
      </c>
      <c r="J8" s="213">
        <v>7.4209999999999996E-5</v>
      </c>
      <c r="K8" s="212">
        <f>$G$8*$J$8</f>
        <v>0</v>
      </c>
      <c r="L8" s="213">
        <f>J8</f>
        <v>7.4209999999999996E-5</v>
      </c>
      <c r="M8" s="212">
        <f>$G$8*$L$8</f>
        <v>0</v>
      </c>
      <c r="N8" s="214">
        <f>L8</f>
        <v>7.4209999999999996E-5</v>
      </c>
      <c r="O8" s="203">
        <f t="shared" si="0"/>
        <v>0</v>
      </c>
      <c r="Q8" s="215" t="s">
        <v>449</v>
      </c>
      <c r="R8" s="210" t="s">
        <v>401</v>
      </c>
      <c r="S8" s="211">
        <f>E8-L18</f>
        <v>0</v>
      </c>
      <c r="T8" s="211">
        <f>$S$8*Backup!$J$5/1000</f>
        <v>0</v>
      </c>
      <c r="U8" s="216"/>
    </row>
    <row r="9" spans="2:22" x14ac:dyDescent="0.3">
      <c r="B9" s="421" t="s">
        <v>450</v>
      </c>
      <c r="C9" s="422"/>
      <c r="D9" s="210" t="s">
        <v>401</v>
      </c>
      <c r="E9" s="1"/>
      <c r="F9" s="24"/>
      <c r="G9" s="211">
        <f>$E$9*Backup!$J$6/1000</f>
        <v>0</v>
      </c>
      <c r="H9" s="214">
        <v>7.5290000000000006E-5</v>
      </c>
      <c r="I9" s="212">
        <f>$G$9*$H$9</f>
        <v>0</v>
      </c>
      <c r="J9" s="213">
        <v>7.5290000000000006E-5</v>
      </c>
      <c r="K9" s="212">
        <f>$G$9*$J$9</f>
        <v>0</v>
      </c>
      <c r="L9" s="213">
        <f>J9</f>
        <v>7.5290000000000006E-5</v>
      </c>
      <c r="M9" s="212">
        <f>$G$9*$L$9</f>
        <v>0</v>
      </c>
      <c r="N9" s="214">
        <f>L9</f>
        <v>7.5290000000000006E-5</v>
      </c>
      <c r="O9" s="203">
        <f t="shared" si="0"/>
        <v>0</v>
      </c>
      <c r="Q9" s="215" t="s">
        <v>450</v>
      </c>
      <c r="R9" s="210" t="s">
        <v>401</v>
      </c>
      <c r="S9" s="211">
        <f>E9-M18</f>
        <v>0</v>
      </c>
      <c r="T9" s="211">
        <f>$S$9*Backup!$J$6/1000</f>
        <v>0</v>
      </c>
      <c r="U9" s="216"/>
    </row>
    <row r="10" spans="2:22" x14ac:dyDescent="0.3">
      <c r="B10" s="217" t="s">
        <v>460</v>
      </c>
      <c r="C10" s="218"/>
      <c r="D10" s="219" t="s">
        <v>402</v>
      </c>
      <c r="E10" s="25"/>
      <c r="F10" s="24"/>
      <c r="G10" s="220">
        <f>$E$10*Backup!$J$7/1000</f>
        <v>0</v>
      </c>
      <c r="H10" s="214">
        <v>4.4929999999999998E-5</v>
      </c>
      <c r="I10" s="212">
        <f>$G$10*$H$10</f>
        <v>0</v>
      </c>
      <c r="J10" s="213">
        <v>4.32E-5</v>
      </c>
      <c r="K10" s="212">
        <f>$G$10*$J$10</f>
        <v>0</v>
      </c>
      <c r="L10" s="213">
        <f>J10</f>
        <v>4.32E-5</v>
      </c>
      <c r="M10" s="212">
        <f>$G$10*$L$10</f>
        <v>0</v>
      </c>
      <c r="N10" s="214">
        <f>L10</f>
        <v>4.32E-5</v>
      </c>
      <c r="O10" s="203">
        <f t="shared" si="0"/>
        <v>0</v>
      </c>
      <c r="Q10" s="217" t="s">
        <v>460</v>
      </c>
      <c r="R10" s="219" t="s">
        <v>402</v>
      </c>
      <c r="S10" s="220">
        <f>E10-N18</f>
        <v>0</v>
      </c>
      <c r="T10" s="220">
        <f>$S$10*Backup!$J$7/1000</f>
        <v>0</v>
      </c>
      <c r="U10" s="216"/>
    </row>
    <row r="11" spans="2:22" s="180" customFormat="1" ht="15" thickBot="1" x14ac:dyDescent="0.35">
      <c r="B11" s="419" t="s">
        <v>406</v>
      </c>
      <c r="C11" s="420"/>
      <c r="D11" s="221"/>
      <c r="E11" s="222"/>
      <c r="F11" s="222"/>
      <c r="G11" s="223">
        <f>SUM(G6:G10)</f>
        <v>0</v>
      </c>
      <c r="H11" s="224"/>
      <c r="I11" s="225">
        <f>SUM(I6:I10)</f>
        <v>0</v>
      </c>
      <c r="J11" s="226"/>
      <c r="K11" s="225">
        <f>SUM(K6:K10)</f>
        <v>0</v>
      </c>
      <c r="L11" s="226"/>
      <c r="M11" s="225">
        <f>SUM(M6:M10)</f>
        <v>0</v>
      </c>
      <c r="N11" s="224"/>
      <c r="O11" s="225">
        <f>SUM(O6:O10)</f>
        <v>0</v>
      </c>
      <c r="Q11" s="227" t="s">
        <v>406</v>
      </c>
      <c r="R11" s="221"/>
      <c r="S11" s="226"/>
      <c r="T11" s="223">
        <f>SUM(T6:T10)</f>
        <v>0</v>
      </c>
      <c r="U11" s="228" t="e">
        <f>(G11-T11)/G11</f>
        <v>#DIV/0!</v>
      </c>
    </row>
    <row r="12" spans="2:22" s="180" customFormat="1" ht="15" thickBot="1" x14ac:dyDescent="0.35">
      <c r="B12" s="229" t="s">
        <v>657</v>
      </c>
      <c r="C12" s="230"/>
      <c r="D12" s="231"/>
      <c r="E12" s="232"/>
      <c r="F12" s="232"/>
      <c r="G12" s="233">
        <f>G11-O18</f>
        <v>0</v>
      </c>
      <c r="H12" s="234"/>
      <c r="I12" s="235">
        <f>I11-P18</f>
        <v>0</v>
      </c>
      <c r="J12" s="236"/>
      <c r="K12" s="235">
        <f>K11-Q18</f>
        <v>0</v>
      </c>
      <c r="L12" s="236"/>
      <c r="M12" s="235">
        <f>M11-R18</f>
        <v>0</v>
      </c>
      <c r="N12" s="234"/>
      <c r="O12" s="235">
        <f>O11-S18</f>
        <v>0</v>
      </c>
      <c r="P12" s="237"/>
    </row>
    <row r="13" spans="2:22" s="180" customFormat="1" ht="15" thickBot="1" x14ac:dyDescent="0.35">
      <c r="H13" s="238"/>
    </row>
    <row r="14" spans="2:22" s="180" customFormat="1" ht="15" thickBot="1" x14ac:dyDescent="0.35">
      <c r="B14" s="239" t="s">
        <v>662</v>
      </c>
      <c r="C14" s="240"/>
      <c r="D14" s="240"/>
      <c r="E14" s="178"/>
      <c r="H14" s="238"/>
    </row>
    <row r="15" spans="2:22" s="180" customFormat="1" ht="15" thickBot="1" x14ac:dyDescent="0.35">
      <c r="G15" s="241"/>
      <c r="H15"/>
      <c r="I15"/>
      <c r="J15" s="410" t="s">
        <v>484</v>
      </c>
      <c r="K15" s="411"/>
      <c r="L15" s="411"/>
      <c r="M15" s="411"/>
      <c r="N15" s="411"/>
      <c r="O15" s="411"/>
      <c r="P15" s="411"/>
      <c r="Q15" s="411"/>
      <c r="R15" s="411"/>
      <c r="S15" s="411"/>
      <c r="T15" s="411"/>
      <c r="U15" s="411"/>
      <c r="V15" s="412"/>
    </row>
    <row r="16" spans="2:22" s="180" customFormat="1" ht="30.6" customHeight="1" x14ac:dyDescent="0.3">
      <c r="B16" s="428" t="s">
        <v>667</v>
      </c>
      <c r="C16" s="429"/>
      <c r="D16" s="429"/>
      <c r="E16" s="429"/>
      <c r="F16" s="429"/>
      <c r="G16" s="430"/>
      <c r="H16" s="242" t="s">
        <v>462</v>
      </c>
      <c r="I16" s="243"/>
      <c r="J16" s="244" t="s">
        <v>0</v>
      </c>
      <c r="K16" s="245" t="s">
        <v>463</v>
      </c>
      <c r="L16" s="245" t="s">
        <v>449</v>
      </c>
      <c r="M16" s="245" t="s">
        <v>450</v>
      </c>
      <c r="N16" s="245" t="s">
        <v>460</v>
      </c>
      <c r="O16" s="246" t="s">
        <v>457</v>
      </c>
      <c r="P16" s="246" t="s">
        <v>461</v>
      </c>
      <c r="Q16" s="246" t="s">
        <v>574</v>
      </c>
      <c r="R16" s="246" t="s">
        <v>575</v>
      </c>
      <c r="S16" s="246" t="s">
        <v>576</v>
      </c>
      <c r="T16" s="247" t="s">
        <v>458</v>
      </c>
      <c r="U16" s="248" t="s">
        <v>577</v>
      </c>
      <c r="V16" s="249" t="s">
        <v>459</v>
      </c>
    </row>
    <row r="17" spans="1:25" s="180" customFormat="1" ht="15" customHeight="1" thickBot="1" x14ac:dyDescent="0.35">
      <c r="B17" s="431"/>
      <c r="C17" s="432"/>
      <c r="D17" s="432"/>
      <c r="E17" s="432"/>
      <c r="F17" s="432"/>
      <c r="G17" s="433"/>
      <c r="H17" s="250" t="s">
        <v>439</v>
      </c>
      <c r="I17" s="251"/>
      <c r="J17" s="252" t="s">
        <v>404</v>
      </c>
      <c r="K17" s="253" t="s">
        <v>403</v>
      </c>
      <c r="L17" s="253" t="s">
        <v>401</v>
      </c>
      <c r="M17" s="253" t="s">
        <v>401</v>
      </c>
      <c r="N17" s="253" t="s">
        <v>402</v>
      </c>
      <c r="O17" s="253" t="s">
        <v>410</v>
      </c>
      <c r="P17" s="253" t="s">
        <v>411</v>
      </c>
      <c r="Q17" s="253"/>
      <c r="R17" s="253"/>
      <c r="S17" s="253"/>
      <c r="T17" s="254" t="s">
        <v>409</v>
      </c>
      <c r="U17" s="254" t="s">
        <v>409</v>
      </c>
      <c r="V17" s="255" t="s">
        <v>414</v>
      </c>
    </row>
    <row r="18" spans="1:25" s="180" customFormat="1" ht="15" thickBot="1" x14ac:dyDescent="0.35">
      <c r="B18" s="425" t="s">
        <v>658</v>
      </c>
      <c r="C18" s="426"/>
      <c r="D18" s="426"/>
      <c r="E18" s="426"/>
      <c r="F18" s="426"/>
      <c r="G18" s="427"/>
      <c r="H18" s="256">
        <f>T18+U18</f>
        <v>0</v>
      </c>
      <c r="I18" s="257"/>
      <c r="J18" s="34"/>
      <c r="K18" s="31"/>
      <c r="L18" s="31"/>
      <c r="M18" s="31"/>
      <c r="N18" s="31"/>
      <c r="O18" s="258">
        <f>(J18*Backup!$J$3+K18*Backup!$J$4+L18*Backup!$J$5+M18*Backup!$J$6+N18*Backup!$J$7)/1000</f>
        <v>0</v>
      </c>
      <c r="P18" s="258">
        <f>$J18*$H$6+$K18*Backup!$J$4/1000*$H$7+$L18*Backup!$J$5/1000*$H$8+$M18*Backup!$J$6/1000*$H$9+$N18*Backup!$J$7/1000*$H$10</f>
        <v>0</v>
      </c>
      <c r="Q18" s="258">
        <f>$J18*$J$6+$K18*Backup!$J$4/1000*$J$7+$L18*Backup!$J$5/1000*$J$8+$M18*Backup!$J$6/1000*$J$9+$N18*Backup!$J$7/1000*$J$10</f>
        <v>0</v>
      </c>
      <c r="R18" s="258">
        <f>$J18*$L$6+$K18*Backup!$J$4/1000*$L$7+$L18*Backup!$J$5/1000*$L$8+$M18*Backup!$J$6/1000*$L$9+$N18*Backup!$J$7/1000*$L$10</f>
        <v>0</v>
      </c>
      <c r="S18" s="258">
        <f>$J18*$N$6+$K18*Backup!$J$4/1000*$N$7+$L18*Backup!$J$5/1000*$N$8+$M18*Backup!$J$6/1000*$N$9+$N18*Backup!$J$7/1000*$N$10</f>
        <v>0</v>
      </c>
      <c r="T18" s="259">
        <f>(J18*$F$6)+(K18*$F$7)+(L18*$F$8)+(M18*$F$9)+(N18*$F$10)</f>
        <v>0</v>
      </c>
      <c r="U18" s="32"/>
      <c r="V18" s="33"/>
    </row>
    <row r="19" spans="1:25" ht="15.75" customHeight="1" thickBot="1" x14ac:dyDescent="0.35">
      <c r="A19" s="260"/>
      <c r="B19" s="261"/>
      <c r="E19" s="262"/>
      <c r="F19" s="260"/>
      <c r="G19" s="180"/>
      <c r="J19" s="97"/>
    </row>
    <row r="20" spans="1:25" ht="34.200000000000003" customHeight="1" thickBot="1" x14ac:dyDescent="0.35">
      <c r="B20" s="263"/>
      <c r="D20" s="263"/>
      <c r="F20" s="241"/>
      <c r="G20" s="241"/>
      <c r="J20" s="410" t="s">
        <v>484</v>
      </c>
      <c r="K20" s="411"/>
      <c r="L20" s="411"/>
      <c r="M20" s="411"/>
      <c r="N20" s="411"/>
      <c r="O20" s="411"/>
      <c r="P20" s="411"/>
      <c r="Q20" s="411"/>
      <c r="R20" s="411"/>
      <c r="S20" s="411"/>
      <c r="T20" s="411"/>
      <c r="U20" s="411"/>
      <c r="V20" s="412"/>
    </row>
    <row r="21" spans="1:25" s="180" customFormat="1" ht="31.5" customHeight="1" x14ac:dyDescent="0.3">
      <c r="B21" s="417" t="s">
        <v>483</v>
      </c>
      <c r="C21" s="418"/>
      <c r="D21" s="418"/>
      <c r="E21" s="418" t="s">
        <v>606</v>
      </c>
      <c r="F21" s="418"/>
      <c r="G21" s="264" t="s">
        <v>448</v>
      </c>
      <c r="H21" s="248" t="s">
        <v>462</v>
      </c>
      <c r="I21" s="265" t="s">
        <v>456</v>
      </c>
      <c r="J21" s="245" t="s">
        <v>0</v>
      </c>
      <c r="K21" s="245" t="s">
        <v>463</v>
      </c>
      <c r="L21" s="245" t="s">
        <v>449</v>
      </c>
      <c r="M21" s="245" t="s">
        <v>450</v>
      </c>
      <c r="N21" s="245" t="s">
        <v>460</v>
      </c>
      <c r="O21" s="246" t="s">
        <v>457</v>
      </c>
      <c r="P21" s="246" t="s">
        <v>461</v>
      </c>
      <c r="Q21" s="246" t="s">
        <v>574</v>
      </c>
      <c r="R21" s="246" t="s">
        <v>575</v>
      </c>
      <c r="S21" s="246" t="s">
        <v>576</v>
      </c>
      <c r="T21" s="247" t="s">
        <v>458</v>
      </c>
      <c r="U21" s="248" t="s">
        <v>577</v>
      </c>
      <c r="V21" s="249" t="s">
        <v>459</v>
      </c>
    </row>
    <row r="22" spans="1:25" s="175" customFormat="1" ht="14.85" customHeight="1" thickBot="1" x14ac:dyDescent="0.35">
      <c r="B22" s="413" t="s">
        <v>648</v>
      </c>
      <c r="C22" s="414"/>
      <c r="D22" s="414"/>
      <c r="E22" s="414" t="s">
        <v>648</v>
      </c>
      <c r="F22" s="414"/>
      <c r="G22" s="266" t="s">
        <v>648</v>
      </c>
      <c r="H22" s="254" t="s">
        <v>439</v>
      </c>
      <c r="I22" s="267" t="s">
        <v>405</v>
      </c>
      <c r="J22" s="253" t="s">
        <v>404</v>
      </c>
      <c r="K22" s="253" t="s">
        <v>403</v>
      </c>
      <c r="L22" s="253" t="s">
        <v>401</v>
      </c>
      <c r="M22" s="253" t="s">
        <v>401</v>
      </c>
      <c r="N22" s="253" t="s">
        <v>402</v>
      </c>
      <c r="O22" s="253" t="s">
        <v>410</v>
      </c>
      <c r="P22" s="253" t="s">
        <v>411</v>
      </c>
      <c r="Q22" s="253"/>
      <c r="R22" s="253"/>
      <c r="S22" s="253"/>
      <c r="T22" s="254" t="s">
        <v>409</v>
      </c>
      <c r="U22" s="254" t="s">
        <v>409</v>
      </c>
      <c r="V22" s="255" t="s">
        <v>414</v>
      </c>
    </row>
    <row r="23" spans="1:25" x14ac:dyDescent="0.3">
      <c r="B23" s="268">
        <v>1</v>
      </c>
      <c r="C23" s="269" t="str">
        <f>IF('3 Construction Scope'!D18&lt;&gt;"",'3 Construction Scope'!D18,"")</f>
        <v/>
      </c>
      <c r="D23" s="270"/>
      <c r="E23" s="271" t="str">
        <f>IF('3 Construction Scope'!D18="Renewable Energy System - Prequalified for New Construction",'3 Construction Scope'!H18,IF('3 Construction Scope'!D18="Prequalified Low Carbon Building Measures for New Construction",'3 Construction Scope'!F18, IF('3 Construction Scope'!D18="Loan Cap Adder:  Combined HVAC &amp; DHW are  10% or more efficient than code","Savings for HVAC and DHW must be stated in their respective Measure line items", "")))</f>
        <v/>
      </c>
      <c r="F23" s="270"/>
      <c r="G23" s="272">
        <f>IF('3 Construction Scope'!P18&lt;&gt;"",'3 Construction Scope'!P18,"")</f>
        <v>0</v>
      </c>
      <c r="H23" s="273">
        <f>T23+U23</f>
        <v>0</v>
      </c>
      <c r="I23" s="274" t="str">
        <f>IFERROR(G23/H23,"")</f>
        <v/>
      </c>
      <c r="J23" s="14"/>
      <c r="K23" s="14"/>
      <c r="L23" s="14"/>
      <c r="M23" s="14"/>
      <c r="N23" s="18"/>
      <c r="O23" s="275">
        <f>(J23*Backup!$J$3+K23*Backup!$J$4+L23*Backup!$J$5+M23*Backup!$J$6+N23*Backup!$J$7)/1000</f>
        <v>0</v>
      </c>
      <c r="P23" s="275">
        <f>$J23*$H$6+$K23*Backup!$J$4/1000*$H$7+$L23*Backup!$J$5/1000*$H$8+$M23*Backup!$J$6/1000*$H$9+$N23*Backup!$J$7/1000*$H$10</f>
        <v>0</v>
      </c>
      <c r="Q23" s="275">
        <f>$J23*$J$6+$K23*Backup!$J$4/1000*$J$7+$L23*Backup!$J$5/1000*$J$8+$M23*Backup!$J$6/1000*$J$9+$N23*Backup!$J$7/1000*$J$10</f>
        <v>0</v>
      </c>
      <c r="R23" s="275">
        <f>$J23*$L$6+$K23*Backup!$J$4/1000*$L$7+$L23*Backup!$J$5/1000*$L$8+$M23*Backup!$J$6/1000*$L$9+$N23*Backup!$J$7/1000*$L$10</f>
        <v>0</v>
      </c>
      <c r="S23" s="275">
        <f>$J23*$N$6+$K23*Backup!$J$4/1000*$N$7+$L23*Backup!$J$5/1000*$N$8+$M23*Backup!$J$6/1000*$N$9+$N23*Backup!$J$7/1000*$N$10</f>
        <v>0</v>
      </c>
      <c r="T23" s="273">
        <f>(J23*$F$6)+(K23*$F$7)+(L23*$F$8)+(M23*$F$9)+(N23*$F$10)</f>
        <v>0</v>
      </c>
      <c r="U23" s="29"/>
      <c r="V23" s="30"/>
      <c r="W23" s="276"/>
      <c r="X23" s="277"/>
      <c r="Y23" s="278"/>
    </row>
    <row r="24" spans="1:25" x14ac:dyDescent="0.3">
      <c r="B24" s="279">
        <v>2</v>
      </c>
      <c r="C24" s="280" t="str">
        <f>IF('3 Construction Scope'!D19&lt;&gt;"",'3 Construction Scope'!D19,"")</f>
        <v/>
      </c>
      <c r="D24" s="281"/>
      <c r="E24" s="271" t="str">
        <f>IF('3 Construction Scope'!D19="Renewable Energy System - Prequalified for New Construction",'3 Construction Scope'!H19,IF('3 Construction Scope'!D19="Prequalified Low Carbon Building Measures for New Construction",'3 Construction Scope'!F19, IF('3 Construction Scope'!D19="Loan Cap Adder:  Combined HVAC &amp; DHW are  10% or more efficient than code","Savings for HVAC and DHW must be stated in their respective Measure line items", "")))</f>
        <v/>
      </c>
      <c r="F24" s="270"/>
      <c r="G24" s="272">
        <f>IF('3 Construction Scope'!P19&lt;&gt;"",'3 Construction Scope'!P19,"")</f>
        <v>0</v>
      </c>
      <c r="H24" s="282">
        <f t="shared" ref="H24:H28" si="1">T24+U24</f>
        <v>0</v>
      </c>
      <c r="I24" s="274" t="str">
        <f t="shared" ref="I24:I42" si="2">IFERROR(G24/H24,"")</f>
        <v/>
      </c>
      <c r="J24" s="13"/>
      <c r="K24" s="13"/>
      <c r="L24" s="14"/>
      <c r="M24" s="13"/>
      <c r="N24" s="13"/>
      <c r="O24" s="275">
        <f>(J24*Backup!$J$3+K24*Backup!$J$4+L24*Backup!$J$5+M24*Backup!$J$6+N24*Backup!$J$7)/1000</f>
        <v>0</v>
      </c>
      <c r="P24" s="275">
        <f>$J24*$H$6+$K24*Backup!$J$4/1000*$H$7+$L24*Backup!$J$5/1000*$H$8+$M24*Backup!$J$6/1000*$H$9+$N24*Backup!$J$7/1000*$H$10</f>
        <v>0</v>
      </c>
      <c r="Q24" s="275">
        <f>$J24*$J$6+$K24*Backup!$J$4/1000*$J$7+$L24*Backup!$J$5/1000*$J$8+$M24*Backup!$J$6/1000*$J$9+$N24*Backup!$J$7/1000*$J$10</f>
        <v>0</v>
      </c>
      <c r="R24" s="275">
        <f>$J24*$L$6+$K24*Backup!$J$4/1000*$L$7+$L24*Backup!$J$5/1000*$L$8+$M24*Backup!$J$6/1000*$L$9+$N24*Backup!$J$7/1000*$L$10</f>
        <v>0</v>
      </c>
      <c r="S24" s="275">
        <f>$J24*$N$6+$K24*Backup!$J$4/1000*$N$7+$L24*Backup!$J$5/1000*$N$8+$M24*Backup!$J$6/1000*$N$9+$N24*Backup!$J$7/1000*$N$10</f>
        <v>0</v>
      </c>
      <c r="T24" s="273">
        <f>(J24*$F$6)+(K24*$F$7)+(L24*$F$8)+(M24*$F$9)+(N24*$F$10)</f>
        <v>0</v>
      </c>
      <c r="U24" s="22"/>
      <c r="V24" s="12"/>
      <c r="W24" s="276"/>
      <c r="X24" s="277"/>
    </row>
    <row r="25" spans="1:25" x14ac:dyDescent="0.3">
      <c r="B25" s="279">
        <v>3</v>
      </c>
      <c r="C25" s="280" t="str">
        <f>IF('3 Construction Scope'!D20&lt;&gt;"",'3 Construction Scope'!D20,"")</f>
        <v/>
      </c>
      <c r="D25" s="281"/>
      <c r="E25" s="271" t="str">
        <f>IF('3 Construction Scope'!D20="Renewable Energy System - Prequalified for New Construction",'3 Construction Scope'!H20,IF('3 Construction Scope'!D20="Prequalified Low Carbon Building Measures for New Construction",'3 Construction Scope'!F20, IF('3 Construction Scope'!D20="Loan Cap Adder:  Combined HVAC &amp; DHW are  10% or more efficient than code","Savings for HVAC and DHW must be stated in their respective Measure line items", "")))</f>
        <v/>
      </c>
      <c r="F25" s="270"/>
      <c r="G25" s="272">
        <f>IF('3 Construction Scope'!P20&lt;&gt;"",'3 Construction Scope'!P20,"")</f>
        <v>0</v>
      </c>
      <c r="H25" s="282">
        <f t="shared" si="1"/>
        <v>0</v>
      </c>
      <c r="I25" s="274" t="str">
        <f>IFERROR(G25/H25,"")</f>
        <v/>
      </c>
      <c r="J25" s="13"/>
      <c r="K25" s="13"/>
      <c r="L25" s="14"/>
      <c r="M25" s="13"/>
      <c r="N25" s="13"/>
      <c r="O25" s="275">
        <f>(J25*Backup!$J$3+K25*Backup!$J$4+L25*Backup!$J$5+M25*Backup!$J$6+N25*Backup!$J$7)/1000</f>
        <v>0</v>
      </c>
      <c r="P25" s="275">
        <f>$J25*$H$6+$K25*Backup!$J$4/1000*$H$7+$L25*Backup!$J$5/1000*$H$8+$M25*Backup!$J$6/1000*$H$9+$N25*Backup!$J$7/1000*$H$10</f>
        <v>0</v>
      </c>
      <c r="Q25" s="275">
        <f>$J25*$J$6+$K25*Backup!$J$4/1000*$J$7+$L25*Backup!$J$5/1000*$J$8+$M25*Backup!$J$6/1000*$J$9+$N25*Backup!$J$7/1000*$J$10</f>
        <v>0</v>
      </c>
      <c r="R25" s="275">
        <f>$J25*$L$6+$K25*Backup!$J$4/1000*$L$7+$L25*Backup!$J$5/1000*$L$8+$M25*Backup!$J$6/1000*$L$9+$N25*Backup!$J$7/1000*$L$10</f>
        <v>0</v>
      </c>
      <c r="S25" s="275">
        <f>$J25*$N$6+$K25*Backup!$J$4/1000*$N$7+$L25*Backup!$J$5/1000*$N$8+$M25*Backup!$J$6/1000*$N$9+$N25*Backup!$J$7/1000*$N$10</f>
        <v>0</v>
      </c>
      <c r="T25" s="273">
        <f t="shared" ref="T25:T42" si="3">(J25*$F$6)+(K25*$F$7)+(L25*$F$8)+(M25*$F$9)+(N25*$F$10)</f>
        <v>0</v>
      </c>
      <c r="U25" s="22"/>
      <c r="V25" s="12"/>
      <c r="W25" s="276"/>
      <c r="X25" s="277"/>
    </row>
    <row r="26" spans="1:25" x14ac:dyDescent="0.3">
      <c r="B26" s="279">
        <v>4</v>
      </c>
      <c r="C26" s="280" t="str">
        <f>IF('3 Construction Scope'!D21&lt;&gt;"",'3 Construction Scope'!D21,"")</f>
        <v/>
      </c>
      <c r="D26" s="281"/>
      <c r="E26" s="271" t="str">
        <f>IF('3 Construction Scope'!D21="Renewable Energy System - Prequalified for New Construction",'3 Construction Scope'!H21,IF('3 Construction Scope'!D21="Prequalified Low Carbon Building Measures for New Construction",'3 Construction Scope'!F21, IF('3 Construction Scope'!D21="Loan Cap Adder:  Combined HVAC &amp; DHW are  10% or more efficient than code","Savings for HVAC and DHW must be stated in their respective Measure line items", "")))</f>
        <v/>
      </c>
      <c r="F26" s="270"/>
      <c r="G26" s="272">
        <f>IF('3 Construction Scope'!P21&lt;&gt;"",'3 Construction Scope'!P21,"")</f>
        <v>0</v>
      </c>
      <c r="H26" s="282">
        <f t="shared" si="1"/>
        <v>0</v>
      </c>
      <c r="I26" s="274" t="str">
        <f t="shared" si="2"/>
        <v/>
      </c>
      <c r="J26" s="13"/>
      <c r="K26" s="13"/>
      <c r="L26" s="14"/>
      <c r="M26" s="13"/>
      <c r="N26" s="13"/>
      <c r="O26" s="275">
        <f>(J26*Backup!$J$3+K26*Backup!$J$4+L26*Backup!$J$5+M26*Backup!$J$6+N26*Backup!$J$7)/1000</f>
        <v>0</v>
      </c>
      <c r="P26" s="275">
        <f>$J26*$H$6+$K26*Backup!$J$4/1000*$H$7+$L26*Backup!$J$5/1000*$H$8+$M26*Backup!$J$6/1000*$H$9+$N26*Backup!$J$7/1000*$H$10</f>
        <v>0</v>
      </c>
      <c r="Q26" s="275">
        <f>$J26*$J$6+$K26*Backup!$J$4/1000*$J$7+$L26*Backup!$J$5/1000*$J$8+$M26*Backup!$J$6/1000*$J$9+$N26*Backup!$J$7/1000*$J$10</f>
        <v>0</v>
      </c>
      <c r="R26" s="275">
        <f>$J26*$L$6+$K26*Backup!$J$4/1000*$L$7+$L26*Backup!$J$5/1000*$L$8+$M26*Backup!$J$6/1000*$L$9+$N26*Backup!$J$7/1000*$L$10</f>
        <v>0</v>
      </c>
      <c r="S26" s="275">
        <f>$J26*$N$6+$K26*Backup!$J$4/1000*$N$7+$L26*Backup!$J$5/1000*$N$8+$M26*Backup!$J$6/1000*$N$9+$N26*Backup!$J$7/1000*$N$10</f>
        <v>0</v>
      </c>
      <c r="T26" s="273">
        <f t="shared" si="3"/>
        <v>0</v>
      </c>
      <c r="U26" s="22"/>
      <c r="V26" s="12"/>
      <c r="W26" s="276"/>
      <c r="X26" s="277"/>
    </row>
    <row r="27" spans="1:25" x14ac:dyDescent="0.3">
      <c r="B27" s="279">
        <v>5</v>
      </c>
      <c r="C27" s="280" t="str">
        <f>IF('3 Construction Scope'!D22&lt;&gt;"",'3 Construction Scope'!D22,"")</f>
        <v/>
      </c>
      <c r="D27" s="281"/>
      <c r="E27" s="271" t="str">
        <f>IF('3 Construction Scope'!D22="Renewable Energy System - Prequalified for New Construction",'3 Construction Scope'!H22,IF('3 Construction Scope'!D22="Prequalified Low Carbon Building Measures for New Construction",'3 Construction Scope'!F22, IF('3 Construction Scope'!D22="Loan Cap Adder:  Combined HVAC &amp; DHW are  10% or more efficient than code","See footnote 2", "")))</f>
        <v/>
      </c>
      <c r="F27" s="270"/>
      <c r="G27" s="272">
        <f>IF('3 Construction Scope'!P22&lt;&gt;"",'3 Construction Scope'!P22,"")</f>
        <v>0</v>
      </c>
      <c r="H27" s="282">
        <f t="shared" si="1"/>
        <v>0</v>
      </c>
      <c r="I27" s="274" t="str">
        <f t="shared" si="2"/>
        <v/>
      </c>
      <c r="J27" s="13"/>
      <c r="K27" s="13"/>
      <c r="L27" s="14"/>
      <c r="M27" s="13"/>
      <c r="N27" s="13"/>
      <c r="O27" s="275">
        <f>(J27*Backup!$J$3+K27*Backup!$J$4+L27*Backup!$J$5+M27*Backup!$J$6+N27*Backup!$J$7)/1000</f>
        <v>0</v>
      </c>
      <c r="P27" s="275">
        <f>$J27*$H$6+$K27*Backup!$J$4/1000*$H$7+$L27*Backup!$J$5/1000*$H$8+$M27*Backup!$J$6/1000*$H$9+$N27*Backup!$J$7/1000*$H$10</f>
        <v>0</v>
      </c>
      <c r="Q27" s="275">
        <f>$J27*$J$6+$K27*Backup!$J$4/1000*$J$7+$L27*Backup!$J$5/1000*$J$8+$M27*Backup!$J$6/1000*$J$9+$N27*Backup!$J$7/1000*$J$10</f>
        <v>0</v>
      </c>
      <c r="R27" s="275">
        <f>$J27*$L$6+$K27*Backup!$J$4/1000*$L$7+$L27*Backup!$J$5/1000*$L$8+$M27*Backup!$J$6/1000*$L$9+$N27*Backup!$J$7/1000*$L$10</f>
        <v>0</v>
      </c>
      <c r="S27" s="275">
        <f>$J27*$N$6+$K27*Backup!$J$4/1000*$N$7+$L27*Backup!$J$5/1000*$N$8+$M27*Backup!$J$6/1000*$N$9+$N27*Backup!$J$7/1000*$N$10</f>
        <v>0</v>
      </c>
      <c r="T27" s="273">
        <f t="shared" si="3"/>
        <v>0</v>
      </c>
      <c r="U27" s="22"/>
      <c r="V27" s="12"/>
      <c r="W27" s="276"/>
      <c r="X27" s="277"/>
    </row>
    <row r="28" spans="1:25" ht="13.2" customHeight="1" x14ac:dyDescent="0.3">
      <c r="B28" s="279">
        <v>6</v>
      </c>
      <c r="C28" s="280" t="str">
        <f>IF('3 Construction Scope'!D23&lt;&gt;"",'3 Construction Scope'!D23,"")</f>
        <v/>
      </c>
      <c r="D28" s="281"/>
      <c r="E28" s="271" t="str">
        <f>IF('3 Construction Scope'!D23="Renewable Energy System - Prequalified for New Construction",'3 Construction Scope'!H23,IF('3 Construction Scope'!D23="Prequalified Low Carbon Building Measures for New Construction",'3 Construction Scope'!F23, IF('3 Construction Scope'!D23="Loan Cap Adder:  Combined HVAC &amp; DHW are  10% or more efficient than code","Savings for HVAC and DHW must be stated in their respective Measure line items", "")))</f>
        <v/>
      </c>
      <c r="F28" s="270"/>
      <c r="G28" s="272">
        <f>IF('3 Construction Scope'!P23&lt;&gt;"",'3 Construction Scope'!P23,"")</f>
        <v>0</v>
      </c>
      <c r="H28" s="282">
        <f t="shared" si="1"/>
        <v>0</v>
      </c>
      <c r="I28" s="274" t="str">
        <f t="shared" si="2"/>
        <v/>
      </c>
      <c r="J28" s="13"/>
      <c r="K28" s="13"/>
      <c r="L28" s="14"/>
      <c r="M28" s="13"/>
      <c r="N28" s="13"/>
      <c r="O28" s="275">
        <f>(J28*Backup!$J$3+K28*Backup!$J$4+L28*Backup!$J$5+M28*Backup!$J$6+N28*Backup!$J$7)/1000</f>
        <v>0</v>
      </c>
      <c r="P28" s="275">
        <f>$J28*$H$6+$K28*Backup!$J$4/1000*$H$7+$L28*Backup!$J$5/1000*$H$8+$M28*Backup!$J$6/1000*$H$9+$N28*Backup!$J$7/1000*$H$10</f>
        <v>0</v>
      </c>
      <c r="Q28" s="275">
        <f>$J28*$J$6+$K28*Backup!$J$4/1000*$J$7+$L28*Backup!$J$5/1000*$J$8+$M28*Backup!$J$6/1000*$J$9+$N28*Backup!$J$7/1000*$J$10</f>
        <v>0</v>
      </c>
      <c r="R28" s="275">
        <f>$J28*$L$6+$K28*Backup!$J$4/1000*$L$7+$L28*Backup!$J$5/1000*$L$8+$M28*Backup!$J$6/1000*$L$9+$N28*Backup!$J$7/1000*$L$10</f>
        <v>0</v>
      </c>
      <c r="S28" s="275">
        <f>$J28*$N$6+$K28*Backup!$J$4/1000*$N$7+$L28*Backup!$J$5/1000*$N$8+$M28*Backup!$J$6/1000*$N$9+$N28*Backup!$J$7/1000*$N$10</f>
        <v>0</v>
      </c>
      <c r="T28" s="273">
        <f t="shared" si="3"/>
        <v>0</v>
      </c>
      <c r="U28" s="22"/>
      <c r="V28" s="12"/>
    </row>
    <row r="29" spans="1:25" ht="15" customHeight="1" x14ac:dyDescent="0.3">
      <c r="B29" s="279">
        <v>7</v>
      </c>
      <c r="C29" s="280" t="str">
        <f>IF('3 Construction Scope'!D24&lt;&gt;"",'3 Construction Scope'!D24,"")</f>
        <v/>
      </c>
      <c r="D29" s="281"/>
      <c r="E29" s="271" t="str">
        <f>IF('3 Construction Scope'!D24="Renewable Energy System - Prequalified for New Construction",'3 Construction Scope'!H24,IF('3 Construction Scope'!D24="Prequalified Low Carbon Building Measures for New Construction",'3 Construction Scope'!F24, IF('3 Construction Scope'!D24="Loan Cap Adder:  Combined HVAC &amp; DHW are  10% or more efficient than code","Savings for HVAC and DHW must be stated in their respective Measure line items", "")))</f>
        <v/>
      </c>
      <c r="F29" s="270"/>
      <c r="G29" s="272">
        <f>IF('3 Construction Scope'!P24&lt;&gt;"",'3 Construction Scope'!P24,"")</f>
        <v>0</v>
      </c>
      <c r="H29" s="282">
        <f t="shared" ref="H29:H42" si="4">T29+U29</f>
        <v>0</v>
      </c>
      <c r="I29" s="274" t="str">
        <f t="shared" si="2"/>
        <v/>
      </c>
      <c r="J29" s="13"/>
      <c r="K29" s="13"/>
      <c r="L29" s="14"/>
      <c r="M29" s="13"/>
      <c r="N29" s="13"/>
      <c r="O29" s="275">
        <f>(J29*Backup!$J$3+K29*Backup!$J$4+L29*Backup!$J$5+M29*Backup!$J$6+N29*Backup!$J$7)/1000</f>
        <v>0</v>
      </c>
      <c r="P29" s="275">
        <f>$J29*$H$6+$K29*Backup!$J$4/1000*$H$7+$L29*Backup!$J$5/1000*$H$8+$M29*Backup!$J$6/1000*$H$9+$N29*Backup!$J$7/1000*$H$10</f>
        <v>0</v>
      </c>
      <c r="Q29" s="275">
        <f>$J29*$J$6+$K29*Backup!$J$4/1000*$J$7+$L29*Backup!$J$5/1000*$J$8+$M29*Backup!$J$6/1000*$J$9+$N29*Backup!$J$7/1000*$J$10</f>
        <v>0</v>
      </c>
      <c r="R29" s="275">
        <f>$J29*$L$6+$K29*Backup!$J$4/1000*$L$7+$L29*Backup!$J$5/1000*$L$8+$M29*Backup!$J$6/1000*$L$9+$N29*Backup!$J$7/1000*$L$10</f>
        <v>0</v>
      </c>
      <c r="S29" s="275">
        <f>$J29*$N$6+$K29*Backup!$J$4/1000*$N$7+$L29*Backup!$J$5/1000*$N$8+$M29*Backup!$J$6/1000*$N$9+$N29*Backup!$J$7/1000*$N$10</f>
        <v>0</v>
      </c>
      <c r="T29" s="273">
        <f t="shared" si="3"/>
        <v>0</v>
      </c>
      <c r="U29" s="22"/>
      <c r="V29" s="12"/>
    </row>
    <row r="30" spans="1:25" x14ac:dyDescent="0.3">
      <c r="B30" s="279">
        <v>8</v>
      </c>
      <c r="C30" s="280" t="str">
        <f>IF('3 Construction Scope'!D25&lt;&gt;"",'3 Construction Scope'!D25,"")</f>
        <v/>
      </c>
      <c r="D30" s="281"/>
      <c r="E30" s="271" t="str">
        <f>IF('3 Construction Scope'!D25="Renewable Energy System - Prequalified for New Construction",'3 Construction Scope'!H25,IF('3 Construction Scope'!D25="Prequalified Low Carbon Building Measures for New Construction",'3 Construction Scope'!F25, IF('3 Construction Scope'!D25="Loan Cap Adder:  Combined HVAC &amp; DHW are  10% or more efficient than code","Savings for HVAC and DHW must be stated in their respective Measure line items", "")))</f>
        <v/>
      </c>
      <c r="F30" s="270"/>
      <c r="G30" s="272">
        <f>IF('3 Construction Scope'!P25&lt;&gt;"",'3 Construction Scope'!P25,"")</f>
        <v>0</v>
      </c>
      <c r="H30" s="282">
        <f t="shared" si="4"/>
        <v>0</v>
      </c>
      <c r="I30" s="274" t="str">
        <f t="shared" si="2"/>
        <v/>
      </c>
      <c r="J30" s="13"/>
      <c r="K30" s="13"/>
      <c r="L30" s="14"/>
      <c r="M30" s="13"/>
      <c r="N30" s="13"/>
      <c r="O30" s="275">
        <f>(J30*Backup!$J$3+K30*Backup!$J$4+L30*Backup!$J$5+M30*Backup!$J$6+N30*Backup!$J$7)/1000</f>
        <v>0</v>
      </c>
      <c r="P30" s="275">
        <f>$J30*$H$6+$K30*Backup!$J$4/1000*$H$7+$L30*Backup!$J$5/1000*$H$8+$M30*Backup!$J$6/1000*$H$9+$N30*Backup!$J$7/1000*$H$10</f>
        <v>0</v>
      </c>
      <c r="Q30" s="275">
        <f>$J30*$J$6+$K30*Backup!$J$4/1000*$J$7+$L30*Backup!$J$5/1000*$J$8+$M30*Backup!$J$6/1000*$J$9+$N30*Backup!$J$7/1000*$J$10</f>
        <v>0</v>
      </c>
      <c r="R30" s="275">
        <f>$J30*$L$6+$K30*Backup!$J$4/1000*$L$7+$L30*Backup!$J$5/1000*$L$8+$M30*Backup!$J$6/1000*$L$9+$N30*Backup!$J$7/1000*$L$10</f>
        <v>0</v>
      </c>
      <c r="S30" s="275">
        <f>$J30*$N$6+$K30*Backup!$J$4/1000*$N$7+$L30*Backup!$J$5/1000*$N$8+$M30*Backup!$J$6/1000*$N$9+$N30*Backup!$J$7/1000*$N$10</f>
        <v>0</v>
      </c>
      <c r="T30" s="273">
        <f t="shared" si="3"/>
        <v>0</v>
      </c>
      <c r="U30" s="22"/>
      <c r="V30" s="12"/>
    </row>
    <row r="31" spans="1:25" x14ac:dyDescent="0.3">
      <c r="B31" s="279">
        <v>9</v>
      </c>
      <c r="C31" s="280" t="str">
        <f>IF('3 Construction Scope'!D26&lt;&gt;"",'3 Construction Scope'!D26,"")</f>
        <v/>
      </c>
      <c r="D31" s="281"/>
      <c r="E31" s="271" t="str">
        <f>IF('3 Construction Scope'!D26="Renewable Energy System - Prequalified for New Construction",'3 Construction Scope'!H26,IF('3 Construction Scope'!D26="Prequalified Low Carbon Building Measures for New Construction",'3 Construction Scope'!F26, IF('3 Construction Scope'!D26="Loan Cap Adder:  Combined HVAC &amp; DHW are  10% or more efficient than code","Savings for HVAC and DHW must be stated in their respective Measure line items", "")))</f>
        <v/>
      </c>
      <c r="F31" s="270"/>
      <c r="G31" s="272">
        <f>IF('3 Construction Scope'!P26&lt;&gt;"",'3 Construction Scope'!P26,"")</f>
        <v>0</v>
      </c>
      <c r="H31" s="282">
        <f t="shared" si="4"/>
        <v>0</v>
      </c>
      <c r="I31" s="274" t="str">
        <f t="shared" si="2"/>
        <v/>
      </c>
      <c r="J31" s="13"/>
      <c r="K31" s="13"/>
      <c r="L31" s="14"/>
      <c r="M31" s="13"/>
      <c r="N31" s="13"/>
      <c r="O31" s="275">
        <f>(J31*Backup!$J$3+K31*Backup!$J$4+L31*Backup!$J$5+M31*Backup!$J$6+N31*Backup!$J$7)/1000</f>
        <v>0</v>
      </c>
      <c r="P31" s="275">
        <f>$J31*$H$6+$K31*Backup!$J$4/1000*$H$7+$L31*Backup!$J$5/1000*$H$8+$M31*Backup!$J$6/1000*$H$9+$N31*Backup!$J$7/1000*$H$10</f>
        <v>0</v>
      </c>
      <c r="Q31" s="275">
        <f>$J31*$J$6+$K31*Backup!$J$4/1000*$J$7+$L31*Backup!$J$5/1000*$J$8+$M31*Backup!$J$6/1000*$J$9+$N31*Backup!$J$7/1000*$J$10</f>
        <v>0</v>
      </c>
      <c r="R31" s="275">
        <f>$J31*$L$6+$K31*Backup!$J$4/1000*$L$7+$L31*Backup!$J$5/1000*$L$8+$M31*Backup!$J$6/1000*$L$9+$N31*Backup!$J$7/1000*$L$10</f>
        <v>0</v>
      </c>
      <c r="S31" s="275">
        <f>$J31*$N$6+$K31*Backup!$J$4/1000*$N$7+$L31*Backup!$J$5/1000*$N$8+$M31*Backup!$J$6/1000*$N$9+$N31*Backup!$J$7/1000*$N$10</f>
        <v>0</v>
      </c>
      <c r="T31" s="273">
        <f t="shared" ref="T31" si="5">(J31*$F$6)+(K31*$F$7)+(L31*$F$8)+(M31*$F$9)+(N31*$F$10)</f>
        <v>0</v>
      </c>
      <c r="U31" s="22"/>
      <c r="V31" s="12"/>
    </row>
    <row r="32" spans="1:25" x14ac:dyDescent="0.3">
      <c r="B32" s="279">
        <v>10</v>
      </c>
      <c r="C32" s="280" t="str">
        <f>IF('3 Construction Scope'!D27&lt;&gt;"",'3 Construction Scope'!D27,"")</f>
        <v/>
      </c>
      <c r="D32" s="281"/>
      <c r="E32" s="271" t="str">
        <f>IF('3 Construction Scope'!D27="Renewable Energy System - Prequalified for New Construction",'3 Construction Scope'!H27,IF('3 Construction Scope'!D27="Prequalified Low Carbon Building Measures for New Construction",'3 Construction Scope'!F27,""))</f>
        <v/>
      </c>
      <c r="F32" s="270"/>
      <c r="G32" s="272">
        <f>IF('3 Construction Scope'!P27&lt;&gt;"",'3 Construction Scope'!P27,"")</f>
        <v>0</v>
      </c>
      <c r="H32" s="282">
        <f t="shared" si="4"/>
        <v>0</v>
      </c>
      <c r="I32" s="274" t="str">
        <f t="shared" si="2"/>
        <v/>
      </c>
      <c r="J32" s="13"/>
      <c r="K32" s="13"/>
      <c r="L32" s="14"/>
      <c r="M32" s="300"/>
      <c r="N32" s="13"/>
      <c r="O32" s="275">
        <f>(J32*Backup!$J$3+K32*Backup!$J$4+L32*Backup!$J$5+M32*Backup!$J$6+N32*Backup!$J$7)/1000</f>
        <v>0</v>
      </c>
      <c r="P32" s="275">
        <f>$J32*$H$6+$K32*Backup!$J$4/1000*$H$7+$L32*Backup!$J$5/1000*$H$8+$M32*Backup!$J$6/1000*$H$9+$N32*Backup!$J$7/1000*$H$10</f>
        <v>0</v>
      </c>
      <c r="Q32" s="275">
        <f>$J32*$J$6+$K32*Backup!$J$4/1000*$J$7+$L32*Backup!$J$5/1000*$J$8+$M32*Backup!$J$6/1000*$J$9+$N32*Backup!$J$7/1000*$J$10</f>
        <v>0</v>
      </c>
      <c r="R32" s="275">
        <f>$J32*$L$6+$K32*Backup!$J$4/1000*$L$7+$L32*Backup!$J$5/1000*$L$8+$M32*Backup!$J$6/1000*$L$9+$N32*Backup!$J$7/1000*$L$10</f>
        <v>0</v>
      </c>
      <c r="S32" s="275">
        <f>$J32*$N$6+$K32*Backup!$J$4/1000*$N$7+$L32*Backup!$J$5/1000*$N$8+$M32*Backup!$J$6/1000*$N$9+$N32*Backup!$J$7/1000*$N$10</f>
        <v>0</v>
      </c>
      <c r="T32" s="273">
        <f t="shared" ref="T32:T34" si="6">(J32*$F$6)+(K32*$F$7)+(L32*$F$8)+(M32*$F$9)+(N32*$F$10)</f>
        <v>0</v>
      </c>
      <c r="U32" s="22"/>
      <c r="V32" s="12"/>
    </row>
    <row r="33" spans="2:22" x14ac:dyDescent="0.3">
      <c r="B33" s="279">
        <v>11</v>
      </c>
      <c r="C33" s="280" t="str">
        <f>IF('3 Construction Scope'!D28&lt;&gt;"",'3 Construction Scope'!D28,"")</f>
        <v/>
      </c>
      <c r="D33" s="281"/>
      <c r="E33" s="271" t="str">
        <f>IF('3 Construction Scope'!D28="Renewable Energy System - Prequalified for New Construction",'3 Construction Scope'!H28,IF('3 Construction Scope'!D28="Prequalified Low Carbon Building Measures for New Construction",'3 Construction Scope'!F28,""))</f>
        <v/>
      </c>
      <c r="F33" s="270"/>
      <c r="G33" s="272">
        <f>IF('3 Construction Scope'!P28&lt;&gt;"",'3 Construction Scope'!P28,"")</f>
        <v>0</v>
      </c>
      <c r="H33" s="282">
        <f t="shared" si="4"/>
        <v>0</v>
      </c>
      <c r="I33" s="274" t="str">
        <f t="shared" si="2"/>
        <v/>
      </c>
      <c r="J33" s="13"/>
      <c r="K33" s="13"/>
      <c r="L33" s="14"/>
      <c r="M33" s="13"/>
      <c r="N33" s="13"/>
      <c r="O33" s="275">
        <f>(J33*Backup!$J$3+K33*Backup!$J$4+L33*Backup!$J$5+M33*Backup!$J$6+N33*Backup!$J$7)/1000</f>
        <v>0</v>
      </c>
      <c r="P33" s="275">
        <f>$J33*$H$6+$K33*Backup!$J$4/1000*$H$7+$L33*Backup!$J$5/1000*$H$8+$M33*Backup!$J$6/1000*$H$9+$N33*Backup!$J$7/1000*$H$10</f>
        <v>0</v>
      </c>
      <c r="Q33" s="275">
        <f>$J33*$J$6+$K33*Backup!$J$4/1000*$J$7+$L33*Backup!$J$5/1000*$J$8+$M33*Backup!$J$6/1000*$J$9+$N33*Backup!$J$7/1000*$J$10</f>
        <v>0</v>
      </c>
      <c r="R33" s="275">
        <f>$J33*$L$6+$K33*Backup!$J$4/1000*$L$7+$L33*Backup!$J$5/1000*$L$8+$M33*Backup!$J$6/1000*$L$9+$N33*Backup!$J$7/1000*$L$10</f>
        <v>0</v>
      </c>
      <c r="S33" s="275">
        <f>$J33*$N$6+$K33*Backup!$J$4/1000*$N$7+$L33*Backup!$J$5/1000*$N$8+$M33*Backup!$J$6/1000*$N$9+$N33*Backup!$J$7/1000*$N$10</f>
        <v>0</v>
      </c>
      <c r="T33" s="273">
        <f t="shared" si="6"/>
        <v>0</v>
      </c>
      <c r="U33" s="22"/>
      <c r="V33" s="12"/>
    </row>
    <row r="34" spans="2:22" x14ac:dyDescent="0.3">
      <c r="B34" s="279">
        <v>12</v>
      </c>
      <c r="C34" s="280" t="str">
        <f>IF('3 Construction Scope'!D29&lt;&gt;"",'3 Construction Scope'!D29,"")</f>
        <v/>
      </c>
      <c r="D34" s="281"/>
      <c r="E34" s="271" t="str">
        <f>IF('3 Construction Scope'!D29="Renewable Energy System - Prequalified for New Construction",'3 Construction Scope'!H29,IF('3 Construction Scope'!D29="Prequalified Low Carbon Building Measures for New Construction",'3 Construction Scope'!F29,""))</f>
        <v/>
      </c>
      <c r="F34" s="270"/>
      <c r="G34" s="272">
        <f>IF('3 Construction Scope'!P29&lt;&gt;"",'3 Construction Scope'!P29,"")</f>
        <v>0</v>
      </c>
      <c r="H34" s="282">
        <f t="shared" si="4"/>
        <v>0</v>
      </c>
      <c r="I34" s="274" t="str">
        <f t="shared" si="2"/>
        <v/>
      </c>
      <c r="J34" s="13"/>
      <c r="K34" s="13"/>
      <c r="L34" s="14"/>
      <c r="M34" s="13"/>
      <c r="N34" s="13"/>
      <c r="O34" s="275">
        <f>(J34*Backup!$J$3+K34*Backup!$J$4+L34*Backup!$J$5+M34*Backup!$J$6+N34*Backup!$J$7)/1000</f>
        <v>0</v>
      </c>
      <c r="P34" s="275">
        <f>$J34*$H$6+$K34*Backup!$J$4/1000*$H$7+$L34*Backup!$J$5/1000*$H$8+$M34*Backup!$J$6/1000*$H$9+$N34*Backup!$J$7/1000*$H$10</f>
        <v>0</v>
      </c>
      <c r="Q34" s="275">
        <f>$J34*$J$6+$K34*Backup!$J$4/1000*$J$7+$L34*Backup!$J$5/1000*$J$8+$M34*Backup!$J$6/1000*$J$9+$N34*Backup!$J$7/1000*$J$10</f>
        <v>0</v>
      </c>
      <c r="R34" s="275">
        <f>$J34*$L$6+$K34*Backup!$J$4/1000*$L$7+$L34*Backup!$J$5/1000*$L$8+$M34*Backup!$J$6/1000*$L$9+$N34*Backup!$J$7/1000*$L$10</f>
        <v>0</v>
      </c>
      <c r="S34" s="275">
        <f>$J34*$N$6+$K34*Backup!$J$4/1000*$N$7+$L34*Backup!$J$5/1000*$N$8+$M34*Backup!$J$6/1000*$N$9+$N34*Backup!$J$7/1000*$N$10</f>
        <v>0</v>
      </c>
      <c r="T34" s="273">
        <f t="shared" si="6"/>
        <v>0</v>
      </c>
      <c r="U34" s="22"/>
      <c r="V34" s="12"/>
    </row>
    <row r="35" spans="2:22" x14ac:dyDescent="0.3">
      <c r="B35" s="279">
        <v>13</v>
      </c>
      <c r="C35" s="280" t="str">
        <f>IF('3 Construction Scope'!D30&lt;&gt;"",'3 Construction Scope'!D30,"")</f>
        <v/>
      </c>
      <c r="D35" s="281"/>
      <c r="E35" s="271" t="str">
        <f>IF('3 Construction Scope'!D30="Renewable Energy System - Prequalified for New Construction",'3 Construction Scope'!H30,IF('3 Construction Scope'!D30="Prequalified Low Carbon Building Measures for New Construction",'3 Construction Scope'!F30,""))</f>
        <v/>
      </c>
      <c r="F35" s="270"/>
      <c r="G35" s="272">
        <f>IF('3 Construction Scope'!P30&lt;&gt;"",'3 Construction Scope'!P30,"")</f>
        <v>0</v>
      </c>
      <c r="H35" s="282">
        <f t="shared" si="4"/>
        <v>0</v>
      </c>
      <c r="I35" s="274" t="str">
        <f t="shared" si="2"/>
        <v/>
      </c>
      <c r="J35" s="13"/>
      <c r="K35" s="13"/>
      <c r="L35" s="14"/>
      <c r="M35" s="13"/>
      <c r="N35" s="13"/>
      <c r="O35" s="275">
        <f>(J35*Backup!$J$3+K35*Backup!$J$4+L35*Backup!$J$5+M35*Backup!$J$6+N35*Backup!$J$7)/1000</f>
        <v>0</v>
      </c>
      <c r="P35" s="275">
        <f>$J35*$H$6+$K35*Backup!$J$4/1000*$H$7+$L35*Backup!$J$5/1000*$H$8+$M35*Backup!$J$6/1000*$H$9+$N35*Backup!$J$7/1000*$H$10</f>
        <v>0</v>
      </c>
      <c r="Q35" s="275">
        <f>$J35*$J$6+$K35*Backup!$J$4/1000*$J$7+$L35*Backup!$J$5/1000*$J$8+$M35*Backup!$J$6/1000*$J$9+$N35*Backup!$J$7/1000*$J$10</f>
        <v>0</v>
      </c>
      <c r="R35" s="275">
        <f>$J35*$L$6+$K35*Backup!$J$4/1000*$L$7+$L35*Backup!$J$5/1000*$L$8+$M35*Backup!$J$6/1000*$L$9+$N35*Backup!$J$7/1000*$L$10</f>
        <v>0</v>
      </c>
      <c r="S35" s="275">
        <f>$J35*$N$6+$K35*Backup!$J$4/1000*$N$7+$L35*Backup!$J$5/1000*$N$8+$M35*Backup!$J$6/1000*$N$9+$N35*Backup!$J$7/1000*$N$10</f>
        <v>0</v>
      </c>
      <c r="T35" s="273">
        <f t="shared" si="3"/>
        <v>0</v>
      </c>
      <c r="U35" s="22"/>
      <c r="V35" s="12"/>
    </row>
    <row r="36" spans="2:22" x14ac:dyDescent="0.3">
      <c r="B36" s="279">
        <v>14</v>
      </c>
      <c r="C36" s="280" t="str">
        <f>IF('3 Construction Scope'!D31&lt;&gt;"",'3 Construction Scope'!D31,"")</f>
        <v/>
      </c>
      <c r="D36" s="281"/>
      <c r="E36" s="271" t="str">
        <f>IF('3 Construction Scope'!D31="Renewable Energy System - Prequalified for New Construction",'3 Construction Scope'!H31,IF('3 Construction Scope'!D31="Prequalified Low Carbon Building Measures for New Construction",'3 Construction Scope'!F31,""))</f>
        <v/>
      </c>
      <c r="F36" s="270"/>
      <c r="G36" s="272">
        <f>IF('3 Construction Scope'!P31&lt;&gt;"",'3 Construction Scope'!P31,"")</f>
        <v>0</v>
      </c>
      <c r="H36" s="282">
        <f t="shared" si="4"/>
        <v>0</v>
      </c>
      <c r="I36" s="274" t="str">
        <f t="shared" si="2"/>
        <v/>
      </c>
      <c r="J36" s="13"/>
      <c r="K36" s="13"/>
      <c r="L36" s="14"/>
      <c r="M36" s="13"/>
      <c r="N36" s="13"/>
      <c r="O36" s="275">
        <f>(J36*Backup!$J$3+K36*Backup!$J$4+L36*Backup!$J$5+M36*Backup!$J$6+N36*Backup!$J$7)/1000</f>
        <v>0</v>
      </c>
      <c r="P36" s="275">
        <f>$J36*$H$6+$K36*Backup!$J$4/1000*$H$7+$L36*Backup!$J$5/1000*$H$8+$M36*Backup!$J$6/1000*$H$9+$N36*Backup!$J$7/1000*$H$10</f>
        <v>0</v>
      </c>
      <c r="Q36" s="275">
        <f>$J36*$J$6+$K36*Backup!$J$4/1000*$J$7+$L36*Backup!$J$5/1000*$J$8+$M36*Backup!$J$6/1000*$J$9+$N36*Backup!$J$7/1000*$J$10</f>
        <v>0</v>
      </c>
      <c r="R36" s="275">
        <f>$J36*$L$6+$K36*Backup!$J$4/1000*$L$7+$L36*Backup!$J$5/1000*$L$8+$M36*Backup!$J$6/1000*$L$9+$N36*Backup!$J$7/1000*$L$10</f>
        <v>0</v>
      </c>
      <c r="S36" s="275">
        <f>$J36*$N$6+$K36*Backup!$J$4/1000*$N$7+$L36*Backup!$J$5/1000*$N$8+$M36*Backup!$J$6/1000*$N$9+$N36*Backup!$J$7/1000*$N$10</f>
        <v>0</v>
      </c>
      <c r="T36" s="273">
        <f t="shared" si="3"/>
        <v>0</v>
      </c>
      <c r="U36" s="22"/>
      <c r="V36" s="12"/>
    </row>
    <row r="37" spans="2:22" x14ac:dyDescent="0.3">
      <c r="B37" s="279">
        <v>15</v>
      </c>
      <c r="C37" s="280" t="str">
        <f>IF('3 Construction Scope'!D32&lt;&gt;"",'3 Construction Scope'!D32,"")</f>
        <v/>
      </c>
      <c r="D37" s="281"/>
      <c r="E37" s="271" t="str">
        <f>IF('3 Construction Scope'!D32="Renewable Energy System - Prequalified for New Construction",'3 Construction Scope'!H32,IF('3 Construction Scope'!D32="Prequalified Low Carbon Building Measures for New Construction",'3 Construction Scope'!F32,""))</f>
        <v/>
      </c>
      <c r="F37" s="270"/>
      <c r="G37" s="272">
        <f>IF('3 Construction Scope'!P32&lt;&gt;"",'3 Construction Scope'!P32,"")</f>
        <v>0</v>
      </c>
      <c r="H37" s="282">
        <f t="shared" si="4"/>
        <v>0</v>
      </c>
      <c r="I37" s="274" t="str">
        <f t="shared" si="2"/>
        <v/>
      </c>
      <c r="J37" s="13"/>
      <c r="K37" s="13"/>
      <c r="L37" s="14"/>
      <c r="M37" s="13"/>
      <c r="N37" s="13"/>
      <c r="O37" s="275">
        <f>(J37*Backup!$J$3+K37*Backup!$J$4+L37*Backup!$J$5+M37*Backup!$J$6+N37*Backup!$J$7)/1000</f>
        <v>0</v>
      </c>
      <c r="P37" s="275">
        <f>$J37*$H$6+$K37*Backup!$J$4/1000*$H$7+$L37*Backup!$J$5/1000*$H$8+$M37*Backup!$J$6/1000*$H$9+$N37*Backup!$J$7/1000*$H$10</f>
        <v>0</v>
      </c>
      <c r="Q37" s="275">
        <f>$J37*$J$6+$K37*Backup!$J$4/1000*$J$7+$L37*Backup!$J$5/1000*$J$8+$M37*Backup!$J$6/1000*$J$9+$N37*Backup!$J$7/1000*$J$10</f>
        <v>0</v>
      </c>
      <c r="R37" s="275">
        <f>$J37*$L$6+$K37*Backup!$J$4/1000*$L$7+$L37*Backup!$J$5/1000*$L$8+$M37*Backup!$J$6/1000*$L$9+$N37*Backup!$J$7/1000*$L$10</f>
        <v>0</v>
      </c>
      <c r="S37" s="275">
        <f>$J37*$N$6+$K37*Backup!$J$4/1000*$N$7+$L37*Backup!$J$5/1000*$N$8+$M37*Backup!$J$6/1000*$N$9+$N37*Backup!$J$7/1000*$N$10</f>
        <v>0</v>
      </c>
      <c r="T37" s="273">
        <f t="shared" si="3"/>
        <v>0</v>
      </c>
      <c r="U37" s="22"/>
      <c r="V37" s="12"/>
    </row>
    <row r="38" spans="2:22" x14ac:dyDescent="0.3">
      <c r="B38" s="279">
        <v>16</v>
      </c>
      <c r="C38" s="280" t="str">
        <f>IF('3 Construction Scope'!D33&lt;&gt;"",'3 Construction Scope'!D33,"")</f>
        <v/>
      </c>
      <c r="D38" s="281"/>
      <c r="E38" s="271" t="str">
        <f>IF('3 Construction Scope'!D33="Renewable Energy System - Prequalified for New Construction",'3 Construction Scope'!H33,IF('3 Construction Scope'!D33="Prequalified Low Carbon Building Measures for New Construction",'3 Construction Scope'!F33,""))</f>
        <v/>
      </c>
      <c r="F38" s="270"/>
      <c r="G38" s="272">
        <f>IF('3 Construction Scope'!P33&lt;&gt;"",'3 Construction Scope'!P33,"")</f>
        <v>0</v>
      </c>
      <c r="H38" s="282">
        <f t="shared" si="4"/>
        <v>0</v>
      </c>
      <c r="I38" s="274" t="str">
        <f t="shared" si="2"/>
        <v/>
      </c>
      <c r="J38" s="13"/>
      <c r="K38" s="13"/>
      <c r="L38" s="14"/>
      <c r="M38" s="13"/>
      <c r="N38" s="13"/>
      <c r="O38" s="275">
        <f>(J38*Backup!$J$3+K38*Backup!$J$4+L38*Backup!$J$5+M38*Backup!$J$6+N38*Backup!$J$7)/1000</f>
        <v>0</v>
      </c>
      <c r="P38" s="275">
        <f>$J38*$H$6+$K38*Backup!$J$4/1000*$H$7+$L38*Backup!$J$5/1000*$H$8+$M38*Backup!$J$6/1000*$H$9+$N38*Backup!$J$7/1000*$H$10</f>
        <v>0</v>
      </c>
      <c r="Q38" s="275">
        <f>$J38*$J$6+$K38*Backup!$J$4/1000*$J$7+$L38*Backup!$J$5/1000*$J$8+$M38*Backup!$J$6/1000*$J$9+$N38*Backup!$J$7/1000*$J$10</f>
        <v>0</v>
      </c>
      <c r="R38" s="275">
        <f>$J38*$L$6+$K38*Backup!$J$4/1000*$L$7+$L38*Backup!$J$5/1000*$L$8+$M38*Backup!$J$6/1000*$L$9+$N38*Backup!$J$7/1000*$L$10</f>
        <v>0</v>
      </c>
      <c r="S38" s="275">
        <f>$J38*$N$6+$K38*Backup!$J$4/1000*$N$7+$L38*Backup!$J$5/1000*$N$8+$M38*Backup!$J$6/1000*$N$9+$N38*Backup!$J$7/1000*$N$10</f>
        <v>0</v>
      </c>
      <c r="T38" s="273">
        <f t="shared" si="3"/>
        <v>0</v>
      </c>
      <c r="U38" s="22"/>
      <c r="V38" s="12"/>
    </row>
    <row r="39" spans="2:22" x14ac:dyDescent="0.3">
      <c r="B39" s="279">
        <v>17</v>
      </c>
      <c r="C39" s="280" t="str">
        <f>IF('3 Construction Scope'!D34&lt;&gt;"",'3 Construction Scope'!D34,"")</f>
        <v/>
      </c>
      <c r="D39" s="281"/>
      <c r="E39" s="271" t="str">
        <f>IF('3 Construction Scope'!D34="Renewable Energy System - Prequalified for New Construction",'3 Construction Scope'!H34,IF('3 Construction Scope'!D34="Prequalified Low Carbon Building Measures for New Construction",'3 Construction Scope'!F34,""))</f>
        <v/>
      </c>
      <c r="F39" s="270"/>
      <c r="G39" s="272">
        <f>IF('3 Construction Scope'!P34&lt;&gt;"",'3 Construction Scope'!P34,"")</f>
        <v>0</v>
      </c>
      <c r="H39" s="282">
        <f t="shared" si="4"/>
        <v>0</v>
      </c>
      <c r="I39" s="274" t="str">
        <f t="shared" si="2"/>
        <v/>
      </c>
      <c r="J39" s="13"/>
      <c r="K39" s="13"/>
      <c r="L39" s="14"/>
      <c r="M39" s="13"/>
      <c r="N39" s="13"/>
      <c r="O39" s="275">
        <f>(J39*Backup!$J$3+K39*Backup!$J$4+L39*Backup!$J$5+M39*Backup!$J$6+N39*Backup!$J$7)/1000</f>
        <v>0</v>
      </c>
      <c r="P39" s="275">
        <f>$J39*$H$6+$K39*Backup!$J$4/1000*$H$7+$L39*Backup!$J$5/1000*$H$8+$M39*Backup!$J$6/1000*$H$9+$N39*Backup!$J$7/1000*$H$10</f>
        <v>0</v>
      </c>
      <c r="Q39" s="275">
        <f>$J39*$J$6+$K39*Backup!$J$4/1000*$J$7+$L39*Backup!$J$5/1000*$J$8+$M39*Backup!$J$6/1000*$J$9+$N39*Backup!$J$7/1000*$J$10</f>
        <v>0</v>
      </c>
      <c r="R39" s="275">
        <f>$J39*$L$6+$K39*Backup!$J$4/1000*$L$7+$L39*Backup!$J$5/1000*$L$8+$M39*Backup!$J$6/1000*$L$9+$N39*Backup!$J$7/1000*$L$10</f>
        <v>0</v>
      </c>
      <c r="S39" s="275">
        <f>$J39*$N$6+$K39*Backup!$J$4/1000*$N$7+$L39*Backup!$J$5/1000*$N$8+$M39*Backup!$J$6/1000*$N$9+$N39*Backup!$J$7/1000*$N$10</f>
        <v>0</v>
      </c>
      <c r="T39" s="273">
        <f t="shared" si="3"/>
        <v>0</v>
      </c>
      <c r="U39" s="22"/>
      <c r="V39" s="12"/>
    </row>
    <row r="40" spans="2:22" x14ac:dyDescent="0.3">
      <c r="B40" s="279">
        <v>18</v>
      </c>
      <c r="C40" s="280" t="str">
        <f>IF('3 Construction Scope'!D35&lt;&gt;"",'3 Construction Scope'!D35,"")</f>
        <v/>
      </c>
      <c r="D40" s="281"/>
      <c r="E40" s="271" t="str">
        <f>IF('3 Construction Scope'!D35="Renewable Energy System - Prequalified for New Construction",'3 Construction Scope'!H35,IF('3 Construction Scope'!D35="Prequalified Low Carbon Building Measures for New Construction",'3 Construction Scope'!F35,""))</f>
        <v/>
      </c>
      <c r="F40" s="270"/>
      <c r="G40" s="272">
        <f>IF('3 Construction Scope'!P35&lt;&gt;"",'3 Construction Scope'!P35,"")</f>
        <v>0</v>
      </c>
      <c r="H40" s="282">
        <f t="shared" si="4"/>
        <v>0</v>
      </c>
      <c r="I40" s="274" t="str">
        <f t="shared" si="2"/>
        <v/>
      </c>
      <c r="J40" s="13"/>
      <c r="K40" s="13"/>
      <c r="L40" s="14"/>
      <c r="M40" s="13"/>
      <c r="N40" s="13"/>
      <c r="O40" s="275">
        <f>(J40*Backup!$J$3+K40*Backup!$J$4+L40*Backup!$J$5+M40*Backup!$J$6+N40*Backup!$J$7)/1000</f>
        <v>0</v>
      </c>
      <c r="P40" s="275">
        <f>$J40*$H$6+$K40*Backup!$J$4/1000*$H$7+$L40*Backup!$J$5/1000*$H$8+$M40*Backup!$J$6/1000*$H$9+$N40*Backup!$J$7/1000*$H$10</f>
        <v>0</v>
      </c>
      <c r="Q40" s="275">
        <f>$J40*$J$6+$K40*Backup!$J$4/1000*$J$7+$L40*Backup!$J$5/1000*$J$8+$M40*Backup!$J$6/1000*$J$9+$N40*Backup!$J$7/1000*$J$10</f>
        <v>0</v>
      </c>
      <c r="R40" s="275">
        <f>$J40*$L$6+$K40*Backup!$J$4/1000*$L$7+$L40*Backup!$J$5/1000*$L$8+$M40*Backup!$J$6/1000*$L$9+$N40*Backup!$J$7/1000*$L$10</f>
        <v>0</v>
      </c>
      <c r="S40" s="275">
        <f>$J40*$N$6+$K40*Backup!$J$4/1000*$N$7+$L40*Backup!$J$5/1000*$N$8+$M40*Backup!$J$6/1000*$N$9+$N40*Backup!$J$7/1000*$N$10</f>
        <v>0</v>
      </c>
      <c r="T40" s="273">
        <f t="shared" si="3"/>
        <v>0</v>
      </c>
      <c r="U40" s="22"/>
      <c r="V40" s="12"/>
    </row>
    <row r="41" spans="2:22" x14ac:dyDescent="0.3">
      <c r="B41" s="279">
        <v>19</v>
      </c>
      <c r="C41" s="280" t="str">
        <f>IF('3 Construction Scope'!D36&lt;&gt;"",'3 Construction Scope'!D36,"")</f>
        <v/>
      </c>
      <c r="D41" s="281"/>
      <c r="E41" s="271" t="str">
        <f>IF('3 Construction Scope'!D36="Renewable Energy System - Prequalified for New Construction",'3 Construction Scope'!H36,IF('3 Construction Scope'!D36="Prequalified Low Carbon Building Measures for New Construction",'3 Construction Scope'!F36,""))</f>
        <v/>
      </c>
      <c r="F41" s="270"/>
      <c r="G41" s="272">
        <f>IF('3 Construction Scope'!P36&lt;&gt;"",'3 Construction Scope'!P36,"")</f>
        <v>0</v>
      </c>
      <c r="H41" s="282">
        <f t="shared" si="4"/>
        <v>0</v>
      </c>
      <c r="I41" s="274" t="str">
        <f t="shared" si="2"/>
        <v/>
      </c>
      <c r="J41" s="13"/>
      <c r="K41" s="13"/>
      <c r="L41" s="14"/>
      <c r="M41" s="13"/>
      <c r="N41" s="13"/>
      <c r="O41" s="275">
        <f>(J41*Backup!$J$3+K41*Backup!$J$4+L41*Backup!$J$5+M41*Backup!$J$6+N41*Backup!$J$7)/1000</f>
        <v>0</v>
      </c>
      <c r="P41" s="275">
        <f>$J41*$H$6+$K41*Backup!$J$4/1000*$H$7+$L41*Backup!$J$5/1000*$H$8+$M41*Backup!$J$6/1000*$H$9+$N41*Backup!$J$7/1000*$H$10</f>
        <v>0</v>
      </c>
      <c r="Q41" s="275">
        <f>$J41*$J$6+$K41*Backup!$J$4/1000*$J$7+$L41*Backup!$J$5/1000*$J$8+$M41*Backup!$J$6/1000*$J$9+$N41*Backup!$J$7/1000*$J$10</f>
        <v>0</v>
      </c>
      <c r="R41" s="275">
        <f>$J41*$L$6+$K41*Backup!$J$4/1000*$L$7+$L41*Backup!$J$5/1000*$L$8+$M41*Backup!$J$6/1000*$L$9+$N41*Backup!$J$7/1000*$L$10</f>
        <v>0</v>
      </c>
      <c r="S41" s="275">
        <f>$J41*$N$6+$K41*Backup!$J$4/1000*$N$7+$L41*Backup!$J$5/1000*$N$8+$M41*Backup!$J$6/1000*$N$9+$N41*Backup!$J$7/1000*$N$10</f>
        <v>0</v>
      </c>
      <c r="T41" s="273">
        <f t="shared" si="3"/>
        <v>0</v>
      </c>
      <c r="U41" s="22"/>
      <c r="V41" s="12"/>
    </row>
    <row r="42" spans="2:22" x14ac:dyDescent="0.3">
      <c r="B42" s="279">
        <v>20</v>
      </c>
      <c r="C42" s="280" t="str">
        <f>IF('3 Construction Scope'!D37&lt;&gt;"",'3 Construction Scope'!D37,"")</f>
        <v/>
      </c>
      <c r="D42" s="281"/>
      <c r="E42" s="271" t="str">
        <f>IF('3 Construction Scope'!D37="Renewable Energy System - Prequalified for New Construction",'3 Construction Scope'!H37,IF('3 Construction Scope'!D37="Prequalified Low Carbon Building Measures for New Construction",'3 Construction Scope'!F37,""))</f>
        <v/>
      </c>
      <c r="F42" s="270"/>
      <c r="G42" s="272">
        <f>IF('3 Construction Scope'!P37&lt;&gt;"",'3 Construction Scope'!P37,"")</f>
        <v>0</v>
      </c>
      <c r="H42" s="282">
        <f t="shared" si="4"/>
        <v>0</v>
      </c>
      <c r="I42" s="274" t="str">
        <f t="shared" si="2"/>
        <v/>
      </c>
      <c r="J42" s="13"/>
      <c r="K42" s="13"/>
      <c r="L42" s="14"/>
      <c r="M42" s="13"/>
      <c r="N42" s="13"/>
      <c r="O42" s="275">
        <f>(J42*Backup!$J$3+K42*Backup!$J$4+L42*Backup!$J$5+M42*Backup!$J$6+N42*Backup!$J$7)/1000</f>
        <v>0</v>
      </c>
      <c r="P42" s="275">
        <f>$J42*$H$6+$K42*Backup!$J$4/1000*$H$7+$L42*Backup!$J$5/1000*$H$8+$M42*Backup!$J$6/1000*$H$9+$N42*Backup!$J$7/1000*$H$10</f>
        <v>0</v>
      </c>
      <c r="Q42" s="275">
        <f>$J42*$J$6+$K42*Backup!$J$4/1000*$J$7+$L42*Backup!$J$5/1000*$J$8+$M42*Backup!$J$6/1000*$J$9+$N42*Backup!$J$7/1000*$J$10</f>
        <v>0</v>
      </c>
      <c r="R42" s="275">
        <f>$J42*$L$6+$K42*Backup!$J$4/1000*$L$7+$L42*Backup!$J$5/1000*$L$8+$M42*Backup!$J$6/1000*$L$9+$N42*Backup!$J$7/1000*$L$10</f>
        <v>0</v>
      </c>
      <c r="S42" s="275">
        <f>$J42*$N$6+$K42*Backup!$J$4/1000*$N$7+$L42*Backup!$J$5/1000*$N$8+$M42*Backup!$J$6/1000*$N$9+$N42*Backup!$J$7/1000*$N$10</f>
        <v>0</v>
      </c>
      <c r="T42" s="273">
        <f t="shared" si="3"/>
        <v>0</v>
      </c>
      <c r="U42" s="22"/>
      <c r="V42" s="12"/>
    </row>
    <row r="43" spans="2:22" ht="15" thickBot="1" x14ac:dyDescent="0.35">
      <c r="B43" s="283"/>
      <c r="C43" s="284" t="s">
        <v>406</v>
      </c>
      <c r="D43" s="285"/>
      <c r="E43" s="286"/>
      <c r="F43" s="287"/>
      <c r="G43" s="288">
        <f>SUM(G23:G42)</f>
        <v>0</v>
      </c>
      <c r="H43" s="289">
        <f>SUM(H23:H42)</f>
        <v>0</v>
      </c>
      <c r="I43" s="290" t="str">
        <f>IFERROR(G43/H43,"")</f>
        <v/>
      </c>
      <c r="J43" s="291">
        <f t="shared" ref="J43:U43" si="7">SUM(J23:J42)</f>
        <v>0</v>
      </c>
      <c r="K43" s="291">
        <f t="shared" si="7"/>
        <v>0</v>
      </c>
      <c r="L43" s="291">
        <f t="shared" si="7"/>
        <v>0</v>
      </c>
      <c r="M43" s="291">
        <f t="shared" si="7"/>
        <v>0</v>
      </c>
      <c r="N43" s="291">
        <f t="shared" si="7"/>
        <v>0</v>
      </c>
      <c r="O43" s="292">
        <f t="shared" si="7"/>
        <v>0</v>
      </c>
      <c r="P43" s="292">
        <f t="shared" si="7"/>
        <v>0</v>
      </c>
      <c r="Q43" s="292">
        <f t="shared" si="7"/>
        <v>0</v>
      </c>
      <c r="R43" s="292">
        <f t="shared" si="7"/>
        <v>0</v>
      </c>
      <c r="S43" s="292">
        <f t="shared" si="7"/>
        <v>0</v>
      </c>
      <c r="T43" s="289">
        <f t="shared" si="7"/>
        <v>0</v>
      </c>
      <c r="U43" s="289">
        <f t="shared" si="7"/>
        <v>0</v>
      </c>
      <c r="V43" s="293"/>
    </row>
    <row r="44" spans="2:22" x14ac:dyDescent="0.3">
      <c r="H44" s="294"/>
      <c r="I44" s="295"/>
      <c r="J44" s="186"/>
      <c r="K44" s="186"/>
      <c r="L44" s="186"/>
      <c r="M44" s="186"/>
      <c r="N44" s="186"/>
      <c r="O44" s="295"/>
      <c r="P44" s="295"/>
      <c r="Q44" s="295"/>
      <c r="R44" s="295"/>
      <c r="S44" s="295"/>
      <c r="T44" s="294"/>
      <c r="U44" s="294"/>
      <c r="V44" s="294"/>
    </row>
    <row r="45" spans="2:22" x14ac:dyDescent="0.3">
      <c r="T45" s="296"/>
      <c r="U45" s="297"/>
    </row>
    <row r="46" spans="2:22" s="142" customFormat="1" ht="12.75" customHeight="1" x14ac:dyDescent="0.3"/>
    <row r="47" spans="2:22" s="145" customFormat="1" ht="18" customHeight="1" x14ac:dyDescent="0.3">
      <c r="B47" s="402" t="s">
        <v>673</v>
      </c>
      <c r="C47" s="402"/>
      <c r="D47" s="402"/>
      <c r="E47" s="402"/>
      <c r="F47" s="402"/>
      <c r="G47" s="402"/>
      <c r="H47" s="402"/>
      <c r="I47" s="402"/>
      <c r="J47" s="402"/>
      <c r="K47" s="402"/>
      <c r="S47" s="298"/>
    </row>
    <row r="48" spans="2:22" s="145" customFormat="1" ht="18" customHeight="1" x14ac:dyDescent="0.3">
      <c r="B48" s="402" t="s">
        <v>674</v>
      </c>
      <c r="C48" s="402"/>
      <c r="D48" s="402"/>
      <c r="E48" s="402"/>
      <c r="F48" s="402"/>
      <c r="G48" s="402"/>
      <c r="H48" s="402"/>
      <c r="I48" s="402"/>
      <c r="J48" s="402"/>
      <c r="K48" s="402"/>
    </row>
    <row r="49" spans="2:2" s="145" customFormat="1" ht="18" customHeight="1" x14ac:dyDescent="0.3">
      <c r="B49" s="299"/>
    </row>
    <row r="50" spans="2:2" x14ac:dyDescent="0.3"/>
    <row r="51" spans="2:2" x14ac:dyDescent="0.3"/>
    <row r="52" spans="2:2" x14ac:dyDescent="0.3"/>
    <row r="53" spans="2:2" x14ac:dyDescent="0.3"/>
    <row r="54" spans="2:2" x14ac:dyDescent="0.3"/>
    <row r="55" spans="2:2" x14ac:dyDescent="0.3"/>
    <row r="56" spans="2:2" x14ac:dyDescent="0.3"/>
    <row r="57" spans="2:2" x14ac:dyDescent="0.3"/>
    <row r="58" spans="2:2" x14ac:dyDescent="0.3"/>
    <row r="59" spans="2:2" x14ac:dyDescent="0.3"/>
    <row r="60" spans="2:2" x14ac:dyDescent="0.3"/>
    <row r="61" spans="2:2" x14ac:dyDescent="0.3"/>
    <row r="62" spans="2:2" x14ac:dyDescent="0.3"/>
    <row r="63" spans="2:2" x14ac:dyDescent="0.3"/>
    <row r="64" spans="2:2"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sheetData>
  <sheetProtection algorithmName="SHA-512" hashValue="AriQxNh7AUOpVQ0n1oOgB2eT4fQ4gU39z7gHVwESqqaeMs/S9oLz/e3oZ1uBFS4xwBYHT/X2DZ793mGab8FPHA==" saltValue="HDTU9CJJYu/BzHAoJMWw8Q==" spinCount="100000" sheet="1" objects="1" scenarios="1"/>
  <mergeCells count="20">
    <mergeCell ref="J3:K3"/>
    <mergeCell ref="L3:M3"/>
    <mergeCell ref="J20:V20"/>
    <mergeCell ref="H3:I3"/>
    <mergeCell ref="B21:D21"/>
    <mergeCell ref="E21:F21"/>
    <mergeCell ref="B4:C4"/>
    <mergeCell ref="B11:C11"/>
    <mergeCell ref="B9:C9"/>
    <mergeCell ref="B8:C8"/>
    <mergeCell ref="B7:C7"/>
    <mergeCell ref="B6:C6"/>
    <mergeCell ref="N3:O3"/>
    <mergeCell ref="B18:G18"/>
    <mergeCell ref="B16:G17"/>
    <mergeCell ref="B47:K47"/>
    <mergeCell ref="J15:V15"/>
    <mergeCell ref="B48:K48"/>
    <mergeCell ref="B22:D22"/>
    <mergeCell ref="E22:F22"/>
  </mergeCells>
  <phoneticPr fontId="13" type="noConversion"/>
  <conditionalFormatting sqref="F6:F10">
    <cfRule type="expression" dxfId="16" priority="24">
      <formula>IF(AND($E$6&gt;0,$F$6=0),TRUE,FALSE)</formula>
    </cfRule>
  </conditionalFormatting>
  <conditionalFormatting sqref="J23:N23 L23:L42 J24:K25 M24:N25 J26:N30 J31:L32 N31:N32 J33:N42">
    <cfRule type="expression" dxfId="15" priority="1">
      <formula>$C23="Loan Cap Adder: Building Enclosure, in aggregate, is  20% better than code "</formula>
    </cfRule>
    <cfRule type="expression" dxfId="14" priority="9">
      <formula>$E23="All-electric back-up power"</formula>
    </cfRule>
    <cfRule type="expression" dxfId="13" priority="10">
      <formula>$E23="Electric service capacity required for all electric"</formula>
    </cfRule>
    <cfRule type="expression" dxfId="12" priority="11">
      <formula>$C23="Loan Cap Adder:  Combined HVAC &amp; DHW are  10% or more efficient than code"</formula>
    </cfRule>
    <cfRule type="expression" dxfId="11" priority="12">
      <formula>$C23="Ancillary Measure – Energy-Related Health and Safety"</formula>
    </cfRule>
    <cfRule type="expression" dxfId="10" priority="13">
      <formula>$C23="Ancillary Measure – Required to Implement Energy Improvement"</formula>
    </cfRule>
    <cfRule type="expression" dxfId="9" priority="14">
      <formula>$C23="Eligible Soft Cost"</formula>
    </cfRule>
    <cfRule type="expression" dxfId="8" priority="15">
      <formula>$E23="Install energy storage"</formula>
    </cfRule>
  </conditionalFormatting>
  <conditionalFormatting sqref="M31">
    <cfRule type="expression" dxfId="7" priority="49">
      <formula>$C32="Loan Cap Adder: Building Enclosure, in aggregate, is  20% better than code "</formula>
    </cfRule>
    <cfRule type="expression" dxfId="6" priority="50">
      <formula>$E32="All-electric back-up power"</formula>
    </cfRule>
    <cfRule type="expression" dxfId="5" priority="51">
      <formula>$E32="Electric service capacity required for all electric"</formula>
    </cfRule>
    <cfRule type="expression" dxfId="4" priority="52">
      <formula>$C32="Loan Cap Adder:  Combined HVAC &amp; DHW are  10% or more efficient than code"</formula>
    </cfRule>
    <cfRule type="expression" dxfId="3" priority="53">
      <formula>$C32="Ancillary Measure – Energy-Related Health and Safety"</formula>
    </cfRule>
    <cfRule type="expression" dxfId="2" priority="54">
      <formula>$C32="Ancillary Measure – Required to Implement Energy Improvement"</formula>
    </cfRule>
    <cfRule type="expression" dxfId="1" priority="55">
      <formula>$C32="Eligible Soft Cost"</formula>
    </cfRule>
    <cfRule type="expression" dxfId="0" priority="56">
      <formula>$E32="Install energy storage"</formula>
    </cfRule>
  </conditionalFormatting>
  <pageMargins left="0.7" right="0.7" top="0.75" bottom="0.75" header="0.3" footer="0.3"/>
  <pageSetup orientation="portrait" r:id="rId1"/>
  <ignoredErrors>
    <ignoredError sqref="M7:M10" 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6773-C011-45A6-BFE6-C8FE47C0F01D}">
  <sheetPr codeName="Sheet6">
    <tabColor theme="9" tint="0.79998168889431442"/>
  </sheetPr>
  <dimension ref="B1:U76"/>
  <sheetViews>
    <sheetView showGridLines="0" zoomScale="55" zoomScaleNormal="55" workbookViewId="0">
      <selection activeCell="L20" sqref="L20"/>
    </sheetView>
  </sheetViews>
  <sheetFormatPr defaultRowHeight="14.4" zeroHeight="1" x14ac:dyDescent="0.3"/>
  <cols>
    <col min="1" max="1" width="1.5546875" customWidth="1"/>
    <col min="2" max="2" width="77.33203125" customWidth="1"/>
    <col min="3" max="3" width="19.6640625" customWidth="1"/>
    <col min="4" max="7" width="19.5546875" customWidth="1"/>
    <col min="8" max="9" width="3.5546875" customWidth="1"/>
    <col min="10" max="10" width="9.5546875" customWidth="1"/>
    <col min="11" max="11" width="41.6640625" customWidth="1"/>
    <col min="12" max="12" width="24.109375" customWidth="1"/>
    <col min="13" max="13" width="12.5546875" customWidth="1"/>
    <col min="14" max="14" width="6.5546875" customWidth="1"/>
    <col min="15" max="15" width="18.5546875" customWidth="1"/>
    <col min="16" max="21" width="19.44140625" customWidth="1"/>
  </cols>
  <sheetData>
    <row r="1" spans="2:21" x14ac:dyDescent="0.3"/>
    <row r="2" spans="2:21" x14ac:dyDescent="0.3"/>
    <row r="3" spans="2:21" x14ac:dyDescent="0.3"/>
    <row r="4" spans="2:21" x14ac:dyDescent="0.3"/>
    <row r="5" spans="2:21" x14ac:dyDescent="0.3"/>
    <row r="6" spans="2:21" ht="24.45" customHeight="1" x14ac:dyDescent="0.3">
      <c r="J6" s="450" t="s">
        <v>610</v>
      </c>
      <c r="K6" s="450"/>
      <c r="L6" s="434" t="s">
        <v>598</v>
      </c>
    </row>
    <row r="7" spans="2:21" ht="27.6" customHeight="1" x14ac:dyDescent="0.3">
      <c r="B7" s="117" t="s">
        <v>609</v>
      </c>
      <c r="F7" s="301"/>
      <c r="G7" s="302"/>
      <c r="J7" s="450"/>
      <c r="K7" s="450"/>
      <c r="L7" s="435"/>
    </row>
    <row r="8" spans="2:21" ht="14.85" customHeight="1" thickBot="1" x14ac:dyDescent="0.35">
      <c r="F8" s="64"/>
      <c r="G8" s="64"/>
    </row>
    <row r="9" spans="2:21" ht="25.35" customHeight="1" thickBot="1" x14ac:dyDescent="0.35">
      <c r="B9" s="439" t="s">
        <v>573</v>
      </c>
      <c r="C9" s="439"/>
      <c r="D9" s="439"/>
      <c r="E9" s="439"/>
      <c r="F9" s="439"/>
      <c r="G9" s="439"/>
      <c r="J9" s="444" t="s">
        <v>569</v>
      </c>
      <c r="K9" s="445"/>
      <c r="L9" s="445"/>
      <c r="M9" s="443" t="s">
        <v>407</v>
      </c>
      <c r="N9" s="436"/>
      <c r="O9" s="437"/>
      <c r="P9" s="436" t="s">
        <v>408</v>
      </c>
      <c r="Q9" s="437"/>
      <c r="R9" s="436" t="s">
        <v>567</v>
      </c>
      <c r="S9" s="437"/>
      <c r="T9" s="436" t="s">
        <v>568</v>
      </c>
      <c r="U9" s="437"/>
    </row>
    <row r="10" spans="2:21" s="180" customFormat="1" ht="29.85" customHeight="1" thickBot="1" x14ac:dyDescent="0.35">
      <c r="B10" s="303"/>
      <c r="C10" s="303"/>
      <c r="D10" s="438" t="s">
        <v>465</v>
      </c>
      <c r="E10" s="438"/>
      <c r="F10" s="438"/>
      <c r="G10" s="438"/>
      <c r="H10"/>
      <c r="J10" s="410" t="s">
        <v>506</v>
      </c>
      <c r="K10" s="449"/>
      <c r="L10" s="182" t="s">
        <v>1</v>
      </c>
      <c r="M10" s="417" t="s">
        <v>466</v>
      </c>
      <c r="N10" s="448"/>
      <c r="O10" s="304" t="s">
        <v>467</v>
      </c>
      <c r="P10" s="305" t="s">
        <v>466</v>
      </c>
      <c r="Q10" s="304" t="s">
        <v>467</v>
      </c>
      <c r="R10" s="305" t="s">
        <v>466</v>
      </c>
      <c r="S10" s="304" t="s">
        <v>467</v>
      </c>
      <c r="T10" s="305" t="s">
        <v>466</v>
      </c>
      <c r="U10" s="304" t="s">
        <v>467</v>
      </c>
    </row>
    <row r="11" spans="2:21" s="308" customFormat="1" ht="15" customHeight="1" thickBot="1" x14ac:dyDescent="0.35">
      <c r="B11" s="306"/>
      <c r="C11" s="307" t="s">
        <v>392</v>
      </c>
      <c r="D11" s="307" t="s">
        <v>407</v>
      </c>
      <c r="E11" s="307" t="s">
        <v>408</v>
      </c>
      <c r="F11" s="307" t="s">
        <v>567</v>
      </c>
      <c r="G11" s="307" t="s">
        <v>568</v>
      </c>
      <c r="H11"/>
      <c r="J11" s="309"/>
      <c r="K11" s="310"/>
      <c r="L11" s="311" t="s">
        <v>468</v>
      </c>
      <c r="M11" s="446" t="s">
        <v>412</v>
      </c>
      <c r="N11" s="447"/>
      <c r="O11" s="312" t="s">
        <v>411</v>
      </c>
      <c r="P11" s="310" t="s">
        <v>412</v>
      </c>
      <c r="Q11" s="312" t="s">
        <v>411</v>
      </c>
      <c r="R11" s="310" t="s">
        <v>412</v>
      </c>
      <c r="S11" s="312" t="s">
        <v>411</v>
      </c>
      <c r="T11" s="310" t="s">
        <v>412</v>
      </c>
      <c r="U11" s="312" t="s">
        <v>411</v>
      </c>
    </row>
    <row r="12" spans="2:21" ht="14.25" customHeight="1" x14ac:dyDescent="0.3">
      <c r="B12" s="215" t="s">
        <v>470</v>
      </c>
      <c r="C12" s="313" t="s">
        <v>426</v>
      </c>
      <c r="D12" s="314" t="str">
        <f>IF($L$72&gt;=25000,IFERROR($M$72*$L$72,""),"N/A")</f>
        <v>N/A</v>
      </c>
      <c r="E12" s="315" t="str">
        <f>IF($L$72&gt;=25000,IFERROR($P$72*$L$72,""), "N/A")</f>
        <v>N/A</v>
      </c>
      <c r="F12" s="315" t="str">
        <f>IF($L$72&gt;=25000,IFERROR($R$72*$L$72,""), "N/A")</f>
        <v>N/A</v>
      </c>
      <c r="G12" s="316" t="str">
        <f>IF($L$72&gt;=25000,IFERROR($T$72*$L$72,""), "N/A")</f>
        <v>N/A</v>
      </c>
      <c r="J12" s="317"/>
      <c r="K12" s="281" t="s">
        <v>507</v>
      </c>
      <c r="L12" s="15"/>
      <c r="M12" s="318">
        <v>7.5799999999999999E-3</v>
      </c>
      <c r="N12" s="319"/>
      <c r="O12" s="212">
        <f>L12*M12</f>
        <v>0</v>
      </c>
      <c r="P12" s="320">
        <v>3.5655280000000001E-3</v>
      </c>
      <c r="Q12" s="212">
        <f>L12*P12</f>
        <v>0</v>
      </c>
      <c r="R12" s="209">
        <v>2.6741460000000001E-3</v>
      </c>
      <c r="S12" s="212">
        <f>L12*R12</f>
        <v>0</v>
      </c>
      <c r="T12" s="209">
        <v>1.7827640000000001E-3</v>
      </c>
      <c r="U12" s="212">
        <f>L12*T12</f>
        <v>0</v>
      </c>
    </row>
    <row r="13" spans="2:21" ht="15" thickBot="1" x14ac:dyDescent="0.35">
      <c r="B13" s="321" t="s">
        <v>469</v>
      </c>
      <c r="C13" s="322" t="s">
        <v>614</v>
      </c>
      <c r="D13" s="323">
        <f>IF(D$16&lt;&gt;"N/A Below 25,000 Sf", 268,0)</f>
        <v>0</v>
      </c>
      <c r="E13" s="323">
        <f>IF(E$16&lt;&gt;"N/A Below 25,000 Sf", 268,0)</f>
        <v>0</v>
      </c>
      <c r="F13" s="323">
        <f>IF(F$16&lt;&gt;"N/A Below 25,000 Sf", 268,0)</f>
        <v>0</v>
      </c>
      <c r="G13" s="324">
        <f>IF(G$16&lt;&gt;"N/A Below 25,000 Sf", 268,0)</f>
        <v>0</v>
      </c>
      <c r="J13" s="317"/>
      <c r="K13" s="281" t="s">
        <v>508</v>
      </c>
      <c r="L13" s="15"/>
      <c r="M13" s="318">
        <v>1.1809999999999999E-2</v>
      </c>
      <c r="N13" s="319"/>
      <c r="O13" s="212">
        <f t="shared" ref="O13:O24" si="0">L13*M13</f>
        <v>0</v>
      </c>
      <c r="P13" s="320">
        <v>8.9806120000000007E-3</v>
      </c>
      <c r="Q13" s="212">
        <f t="shared" ref="Q13:Q24" si="1">L13*P13</f>
        <v>0</v>
      </c>
      <c r="R13" s="209">
        <v>6.7354590000000001E-3</v>
      </c>
      <c r="S13" s="212">
        <f t="shared" ref="S13:S24" si="2">L13*R13</f>
        <v>0</v>
      </c>
      <c r="T13" s="209">
        <v>4.4903060000000003E-3</v>
      </c>
      <c r="U13" s="212">
        <f t="shared" ref="U13:U24" si="3">L13*T13</f>
        <v>0</v>
      </c>
    </row>
    <row r="14" spans="2:21" ht="15" thickBot="1" x14ac:dyDescent="0.35">
      <c r="B14" s="440" t="s">
        <v>665</v>
      </c>
      <c r="C14" s="441"/>
      <c r="D14" s="441"/>
      <c r="E14" s="441"/>
      <c r="F14" s="441"/>
      <c r="G14" s="442"/>
      <c r="J14" s="317"/>
      <c r="K14" s="281" t="s">
        <v>509</v>
      </c>
      <c r="L14" s="15"/>
      <c r="M14" s="325">
        <v>6.7499999999999999E-3</v>
      </c>
      <c r="N14" s="326"/>
      <c r="O14" s="212">
        <f t="shared" si="0"/>
        <v>0</v>
      </c>
      <c r="P14" s="320">
        <v>2.8240969999999998E-3</v>
      </c>
      <c r="Q14" s="212">
        <f t="shared" si="1"/>
        <v>0</v>
      </c>
      <c r="R14" s="209">
        <v>2.1180719999999999E-3</v>
      </c>
      <c r="S14" s="212">
        <f t="shared" si="2"/>
        <v>0</v>
      </c>
      <c r="T14" s="209">
        <v>1.4120479999999999E-3</v>
      </c>
      <c r="U14" s="212">
        <f t="shared" si="3"/>
        <v>0</v>
      </c>
    </row>
    <row r="15" spans="2:21" x14ac:dyDescent="0.3">
      <c r="B15" s="327" t="s">
        <v>472</v>
      </c>
      <c r="C15" s="328" t="s">
        <v>426</v>
      </c>
      <c r="D15" s="329">
        <f>'4 Savings Analysis'!I11</f>
        <v>0</v>
      </c>
      <c r="E15" s="329">
        <f>'4 Savings Analysis'!K11</f>
        <v>0</v>
      </c>
      <c r="F15" s="329">
        <f>'4 Savings Analysis'!M11</f>
        <v>0</v>
      </c>
      <c r="G15" s="330">
        <f>'4 Savings Analysis'!O11</f>
        <v>0</v>
      </c>
      <c r="J15" s="317"/>
      <c r="K15" s="281" t="s">
        <v>510</v>
      </c>
      <c r="L15" s="15"/>
      <c r="M15" s="325">
        <v>9.8700000000000003E-3</v>
      </c>
      <c r="N15" s="326"/>
      <c r="O15" s="212">
        <f t="shared" si="0"/>
        <v>0</v>
      </c>
      <c r="P15" s="320">
        <v>4.0361720000000002E-3</v>
      </c>
      <c r="Q15" s="212">
        <f t="shared" si="1"/>
        <v>0</v>
      </c>
      <c r="R15" s="209">
        <v>3.0271289999999999E-3</v>
      </c>
      <c r="S15" s="212">
        <f t="shared" si="2"/>
        <v>0</v>
      </c>
      <c r="T15" s="209">
        <v>2.0180860000000001E-3</v>
      </c>
      <c r="U15" s="212">
        <f t="shared" si="3"/>
        <v>0</v>
      </c>
    </row>
    <row r="16" spans="2:21" x14ac:dyDescent="0.3">
      <c r="B16" s="331" t="s">
        <v>471</v>
      </c>
      <c r="C16" s="313" t="s">
        <v>427</v>
      </c>
      <c r="D16" s="332" t="str">
        <f>IF($L$72&gt;=25000,IFERROR(D15/$L$72,""),"N/A Below 25,000 Sf")</f>
        <v>N/A Below 25,000 Sf</v>
      </c>
      <c r="E16" s="332" t="str">
        <f>IF($L$72&gt;=25000,IFERROR(E15/$L$72,""), "N/A Below 25,000 Sf")</f>
        <v>N/A Below 25,000 Sf</v>
      </c>
      <c r="F16" s="332" t="str">
        <f>IF($L$72&gt;=25000,IFERROR(F15/$L$72,""), "N/A Below 25,000 Sf")</f>
        <v>N/A Below 25,000 Sf</v>
      </c>
      <c r="G16" s="333" t="str">
        <f>IF($L$72&gt;=25000,IFERROR(G15/$L$72,""), "N/A Below 25,000 Sf")</f>
        <v>N/A Below 25,000 Sf</v>
      </c>
      <c r="J16" s="317"/>
      <c r="K16" s="281" t="s">
        <v>511</v>
      </c>
      <c r="L16" s="15"/>
      <c r="M16" s="318">
        <v>5.7400000000000003E-3</v>
      </c>
      <c r="N16" s="319"/>
      <c r="O16" s="212">
        <f t="shared" si="0"/>
        <v>0</v>
      </c>
      <c r="P16" s="320">
        <v>3.1038149999999998E-3</v>
      </c>
      <c r="Q16" s="212">
        <f t="shared" si="1"/>
        <v>0</v>
      </c>
      <c r="R16" s="209">
        <v>2.3278610000000001E-3</v>
      </c>
      <c r="S16" s="212">
        <f t="shared" si="2"/>
        <v>0</v>
      </c>
      <c r="T16" s="209">
        <v>1.5519069999999999E-3</v>
      </c>
      <c r="U16" s="212">
        <f t="shared" si="3"/>
        <v>0</v>
      </c>
    </row>
    <row r="17" spans="2:21" x14ac:dyDescent="0.3">
      <c r="B17" s="321" t="s">
        <v>570</v>
      </c>
      <c r="C17" s="322" t="s">
        <v>426</v>
      </c>
      <c r="D17" s="314" t="str">
        <f>IFERROR(MAX(0,D$15-D$12),"")</f>
        <v/>
      </c>
      <c r="E17" s="314" t="str">
        <f>IFERROR(MAX(0,E$15-E$12),"")</f>
        <v/>
      </c>
      <c r="F17" s="314" t="str">
        <f>IFERROR(MAX(0,F$15-F$12),"")</f>
        <v/>
      </c>
      <c r="G17" s="334" t="str">
        <f>IFERROR(MAX(0,G$15-G$12),"")</f>
        <v/>
      </c>
      <c r="J17" s="317"/>
      <c r="K17" s="281" t="s">
        <v>512</v>
      </c>
      <c r="L17" s="15"/>
      <c r="M17" s="325">
        <v>9.8700000000000003E-3</v>
      </c>
      <c r="N17" s="326"/>
      <c r="O17" s="212">
        <f t="shared" si="0"/>
        <v>0</v>
      </c>
      <c r="P17" s="320">
        <v>2.0997479999999998E-3</v>
      </c>
      <c r="Q17" s="212">
        <f t="shared" si="1"/>
        <v>0</v>
      </c>
      <c r="R17" s="209">
        <v>1.236322E-3</v>
      </c>
      <c r="S17" s="212">
        <f t="shared" si="2"/>
        <v>0</v>
      </c>
      <c r="T17" s="209">
        <v>1.8081799999999999E-4</v>
      </c>
      <c r="U17" s="212">
        <f t="shared" si="3"/>
        <v>0</v>
      </c>
    </row>
    <row r="18" spans="2:21" ht="15" thickBot="1" x14ac:dyDescent="0.35">
      <c r="B18" s="331" t="s">
        <v>571</v>
      </c>
      <c r="C18" s="335" t="s">
        <v>409</v>
      </c>
      <c r="D18" s="336" t="str">
        <f>IFERROR(D17*D13,"")</f>
        <v/>
      </c>
      <c r="E18" s="336" t="str">
        <f>IFERROR(E17*E13,"")</f>
        <v/>
      </c>
      <c r="F18" s="336" t="str">
        <f>IFERROR(F17*F13,"")</f>
        <v/>
      </c>
      <c r="G18" s="337" t="str">
        <f t="shared" ref="G18" si="4">IFERROR(G17*G13,"")</f>
        <v/>
      </c>
      <c r="J18" s="317"/>
      <c r="K18" s="281" t="s">
        <v>513</v>
      </c>
      <c r="L18" s="15"/>
      <c r="M18" s="318">
        <v>6.7499999999999999E-3</v>
      </c>
      <c r="N18" s="319"/>
      <c r="O18" s="212">
        <f t="shared" si="0"/>
        <v>0</v>
      </c>
      <c r="P18" s="320">
        <v>3.5400319999999998E-3</v>
      </c>
      <c r="Q18" s="212">
        <f t="shared" si="1"/>
        <v>0</v>
      </c>
      <c r="R18" s="209">
        <v>2.6550240000000002E-3</v>
      </c>
      <c r="S18" s="212">
        <f t="shared" si="2"/>
        <v>0</v>
      </c>
      <c r="T18" s="209">
        <v>1.7700159999999999E-3</v>
      </c>
      <c r="U18" s="212">
        <f t="shared" si="3"/>
        <v>0</v>
      </c>
    </row>
    <row r="19" spans="2:21" ht="15" thickBot="1" x14ac:dyDescent="0.35">
      <c r="B19" s="440" t="s">
        <v>666</v>
      </c>
      <c r="C19" s="441"/>
      <c r="D19" s="441"/>
      <c r="E19" s="441"/>
      <c r="F19" s="441"/>
      <c r="G19" s="442"/>
      <c r="J19" s="317"/>
      <c r="K19" s="281" t="s">
        <v>514</v>
      </c>
      <c r="L19" s="15"/>
      <c r="M19" s="325">
        <v>4.2599999999999999E-3</v>
      </c>
      <c r="N19" s="326"/>
      <c r="O19" s="212">
        <f t="shared" si="0"/>
        <v>0</v>
      </c>
      <c r="P19" s="320">
        <v>1.480533E-3</v>
      </c>
      <c r="Q19" s="212">
        <f t="shared" si="1"/>
        <v>0</v>
      </c>
      <c r="R19" s="209">
        <v>1.1104000000000001E-3</v>
      </c>
      <c r="S19" s="212">
        <f t="shared" si="2"/>
        <v>0</v>
      </c>
      <c r="T19" s="209">
        <v>7.4026599999999995E-4</v>
      </c>
      <c r="U19" s="212">
        <f t="shared" si="3"/>
        <v>0</v>
      </c>
    </row>
    <row r="20" spans="2:21" x14ac:dyDescent="0.3">
      <c r="B20" s="327" t="s">
        <v>580</v>
      </c>
      <c r="C20" s="328" t="s">
        <v>426</v>
      </c>
      <c r="D20" s="329">
        <f>'4 Savings Analysis'!I12</f>
        <v>0</v>
      </c>
      <c r="E20" s="329">
        <f>'4 Savings Analysis'!K12</f>
        <v>0</v>
      </c>
      <c r="F20" s="329">
        <f>'4 Savings Analysis'!M12</f>
        <v>0</v>
      </c>
      <c r="G20" s="338">
        <f>'4 Savings Analysis'!O12</f>
        <v>0</v>
      </c>
      <c r="J20" s="317"/>
      <c r="K20" s="281" t="s">
        <v>515</v>
      </c>
      <c r="L20" s="15"/>
      <c r="M20" s="325">
        <v>2.3810000000000001E-2</v>
      </c>
      <c r="N20" s="326"/>
      <c r="O20" s="212">
        <f t="shared" si="0"/>
        <v>0</v>
      </c>
      <c r="P20" s="320">
        <v>1.4791131000000001E-2</v>
      </c>
      <c r="Q20" s="212">
        <f t="shared" si="1"/>
        <v>0</v>
      </c>
      <c r="R20" s="209">
        <v>1.1093347999999999E-2</v>
      </c>
      <c r="S20" s="212">
        <f t="shared" si="2"/>
        <v>0</v>
      </c>
      <c r="T20" s="209">
        <v>7.3955649999999998E-3</v>
      </c>
      <c r="U20" s="212">
        <f t="shared" si="3"/>
        <v>0</v>
      </c>
    </row>
    <row r="21" spans="2:21" ht="15" customHeight="1" x14ac:dyDescent="0.3">
      <c r="B21" s="339" t="s">
        <v>579</v>
      </c>
      <c r="C21" s="322" t="s">
        <v>426</v>
      </c>
      <c r="D21" s="314" t="str">
        <f>IFERROR(MAX(0,D$20-D$12),"")</f>
        <v/>
      </c>
      <c r="E21" s="314" t="str">
        <f>IFERROR(MAX(0,E$20-E$12),"")</f>
        <v/>
      </c>
      <c r="F21" s="314" t="str">
        <f>IFERROR(MAX(0,F$20-F$12),"")</f>
        <v/>
      </c>
      <c r="G21" s="334" t="str">
        <f t="shared" ref="G21" si="5">IFERROR(MAX(0,G$20-G$12),"")</f>
        <v/>
      </c>
      <c r="J21" s="317"/>
      <c r="K21" s="281" t="s">
        <v>516</v>
      </c>
      <c r="L21" s="15"/>
      <c r="M21" s="325">
        <v>5.7400000000000003E-3</v>
      </c>
      <c r="N21" s="326"/>
      <c r="O21" s="212">
        <f t="shared" si="0"/>
        <v>0</v>
      </c>
      <c r="P21" s="320">
        <v>9.9160000000000003E-4</v>
      </c>
      <c r="Q21" s="212">
        <f t="shared" si="1"/>
        <v>0</v>
      </c>
      <c r="R21" s="209">
        <v>5.4963699999999996E-4</v>
      </c>
      <c r="S21" s="212">
        <f t="shared" si="2"/>
        <v>0</v>
      </c>
      <c r="T21" s="209">
        <v>1.2356800000000001E-4</v>
      </c>
      <c r="U21" s="212">
        <f t="shared" si="3"/>
        <v>0</v>
      </c>
    </row>
    <row r="22" spans="2:21" ht="15" customHeight="1" thickBot="1" x14ac:dyDescent="0.35">
      <c r="B22" s="340" t="s">
        <v>599</v>
      </c>
      <c r="C22" s="341" t="s">
        <v>409</v>
      </c>
      <c r="D22" s="323" t="e">
        <f>IFERROR(MAX(0,'4 Savings Analysis'!I12-D$12),"")*D13</f>
        <v>#VALUE!</v>
      </c>
      <c r="E22" s="323" t="e">
        <f>IFERROR(MAX(0,'4 Savings Analysis'!K12-E$12),"")*E13</f>
        <v>#VALUE!</v>
      </c>
      <c r="F22" s="323" t="e">
        <f>IFERROR(MAX(0,'4 Savings Analysis'!M12-F$12),"")*F13</f>
        <v>#VALUE!</v>
      </c>
      <c r="G22" s="324" t="e">
        <f>IFERROR(MAX(0,'4 Savings Analysis'!O12-G$12),"")*G13</f>
        <v>#VALUE!</v>
      </c>
      <c r="J22" s="317"/>
      <c r="K22" s="281" t="s">
        <v>517</v>
      </c>
      <c r="L22" s="15"/>
      <c r="M22" s="318">
        <v>1.074E-2</v>
      </c>
      <c r="N22" s="319"/>
      <c r="O22" s="212">
        <f t="shared" si="0"/>
        <v>0</v>
      </c>
      <c r="P22" s="320">
        <v>3.9838030000000002E-3</v>
      </c>
      <c r="Q22" s="212">
        <f t="shared" si="1"/>
        <v>0</v>
      </c>
      <c r="R22" s="209">
        <v>2.987852E-3</v>
      </c>
      <c r="S22" s="212">
        <f t="shared" si="2"/>
        <v>0</v>
      </c>
      <c r="T22" s="209">
        <v>1.9919009999999999E-3</v>
      </c>
      <c r="U22" s="212">
        <f t="shared" si="3"/>
        <v>0</v>
      </c>
    </row>
    <row r="23" spans="2:21" ht="15" customHeight="1" thickBot="1" x14ac:dyDescent="0.35">
      <c r="B23" s="342" t="s">
        <v>615</v>
      </c>
      <c r="C23" s="343" t="s">
        <v>409</v>
      </c>
      <c r="D23" s="344" t="str">
        <f>IFERROR(IF($L$6="Yes",0,IF((D18-D22)&gt;0,D18-D22,0)),"")</f>
        <v/>
      </c>
      <c r="E23" s="344" t="str">
        <f>IFERROR(IF($L$6="Yes",0,IF((E18-E22)&gt;0,E18-E22,0)),"")</f>
        <v/>
      </c>
      <c r="F23" s="344" t="str">
        <f>IFERROR(IF($L$6="Yes",0,IF((F18-F22)&gt;0,F18-F22,0)),"")</f>
        <v/>
      </c>
      <c r="G23" s="344" t="str">
        <f>IFERROR(IF($L$6="Yes",0,IF((G18-G22)&gt;0,G18-G22,0)),"")</f>
        <v/>
      </c>
      <c r="J23" s="317"/>
      <c r="K23" s="281" t="s">
        <v>518</v>
      </c>
      <c r="L23" s="15"/>
      <c r="M23" s="318">
        <v>8.4600000000000005E-3</v>
      </c>
      <c r="N23" s="319"/>
      <c r="O23" s="212">
        <f t="shared" si="0"/>
        <v>0</v>
      </c>
      <c r="P23" s="320">
        <v>3.6970039999999998E-3</v>
      </c>
      <c r="Q23" s="212">
        <f t="shared" si="1"/>
        <v>0</v>
      </c>
      <c r="R23" s="209">
        <v>2.7727530000000002E-3</v>
      </c>
      <c r="S23" s="212">
        <f t="shared" si="2"/>
        <v>0</v>
      </c>
      <c r="T23" s="209">
        <v>1.8485019999999999E-3</v>
      </c>
      <c r="U23" s="212">
        <f t="shared" si="3"/>
        <v>0</v>
      </c>
    </row>
    <row r="24" spans="2:21" ht="16.2" customHeight="1" x14ac:dyDescent="0.3">
      <c r="B24" s="363" t="s">
        <v>612</v>
      </c>
      <c r="C24" s="363"/>
      <c r="D24" s="363"/>
      <c r="E24" s="363"/>
      <c r="F24" s="363"/>
      <c r="G24" s="363"/>
      <c r="J24" s="317"/>
      <c r="K24" s="281" t="s">
        <v>519</v>
      </c>
      <c r="L24" s="15"/>
      <c r="M24" s="318">
        <v>9.8700000000000003E-3</v>
      </c>
      <c r="N24" s="319"/>
      <c r="O24" s="212">
        <f t="shared" si="0"/>
        <v>0</v>
      </c>
      <c r="P24" s="320">
        <v>3.946728E-3</v>
      </c>
      <c r="Q24" s="212">
        <f t="shared" si="1"/>
        <v>0</v>
      </c>
      <c r="R24" s="209">
        <v>2.960046E-3</v>
      </c>
      <c r="S24" s="212">
        <f t="shared" si="2"/>
        <v>0</v>
      </c>
      <c r="T24" s="209">
        <v>1.973364E-3</v>
      </c>
      <c r="U24" s="212">
        <f t="shared" si="3"/>
        <v>0</v>
      </c>
    </row>
    <row r="25" spans="2:21" ht="16.2" customHeight="1" x14ac:dyDescent="0.3">
      <c r="B25" s="363"/>
      <c r="C25" s="363"/>
      <c r="D25" s="363"/>
      <c r="E25" s="363"/>
      <c r="F25" s="363"/>
      <c r="G25" s="363"/>
      <c r="J25" s="317"/>
      <c r="K25" s="281" t="s">
        <v>520</v>
      </c>
      <c r="L25" s="15"/>
      <c r="M25" s="318">
        <v>1.1809999999999999E-2</v>
      </c>
      <c r="N25" s="326"/>
      <c r="O25" s="212">
        <f t="shared" ref="O25:O71" si="6">L25*M25</f>
        <v>0</v>
      </c>
      <c r="P25" s="320">
        <v>5.2088799999999999E-3</v>
      </c>
      <c r="Q25" s="212">
        <f t="shared" ref="Q25:Q71" si="7">L25*P25</f>
        <v>0</v>
      </c>
      <c r="R25" s="209">
        <v>3.9066600000000002E-3</v>
      </c>
      <c r="S25" s="212">
        <f t="shared" ref="S25:S71" si="8">L25*R25</f>
        <v>0</v>
      </c>
      <c r="T25" s="209">
        <v>2.60444E-3</v>
      </c>
      <c r="U25" s="212">
        <f t="shared" ref="U25:U71" si="9">L25*T25</f>
        <v>0</v>
      </c>
    </row>
    <row r="26" spans="2:21" ht="16.2" customHeight="1" x14ac:dyDescent="0.3">
      <c r="B26" s="363"/>
      <c r="C26" s="363"/>
      <c r="D26" s="363"/>
      <c r="E26" s="363"/>
      <c r="F26" s="363"/>
      <c r="G26" s="363"/>
      <c r="J26" s="317"/>
      <c r="K26" s="281" t="s">
        <v>521</v>
      </c>
      <c r="L26" s="15"/>
      <c r="M26" s="318">
        <v>1.1809999999999999E-2</v>
      </c>
      <c r="N26" s="326"/>
      <c r="O26" s="212">
        <f t="shared" si="6"/>
        <v>0</v>
      </c>
      <c r="P26" s="320">
        <v>7.7494139999999996E-3</v>
      </c>
      <c r="Q26" s="212">
        <f t="shared" si="7"/>
        <v>0</v>
      </c>
      <c r="R26" s="209">
        <v>5.81206E-3</v>
      </c>
      <c r="S26" s="212">
        <f t="shared" si="8"/>
        <v>0</v>
      </c>
      <c r="T26" s="209">
        <v>3.8747069999999998E-3</v>
      </c>
      <c r="U26" s="212">
        <f t="shared" si="9"/>
        <v>0</v>
      </c>
    </row>
    <row r="27" spans="2:21" ht="16.2" customHeight="1" x14ac:dyDescent="0.3">
      <c r="B27" s="364" t="s">
        <v>582</v>
      </c>
      <c r="C27" s="364"/>
      <c r="D27" s="364"/>
      <c r="E27" s="364"/>
      <c r="F27" s="364"/>
      <c r="G27" s="364"/>
      <c r="J27" s="317"/>
      <c r="K27" s="281" t="s">
        <v>522</v>
      </c>
      <c r="L27" s="15"/>
      <c r="M27" s="318">
        <v>2.3810000000000001E-2</v>
      </c>
      <c r="N27" s="326"/>
      <c r="O27" s="212">
        <f t="shared" si="6"/>
        <v>0</v>
      </c>
      <c r="P27" s="320">
        <v>7.3352039999999997E-3</v>
      </c>
      <c r="Q27" s="212">
        <f t="shared" si="7"/>
        <v>0</v>
      </c>
      <c r="R27" s="209">
        <v>4.6540440000000004E-3</v>
      </c>
      <c r="S27" s="212">
        <f t="shared" si="8"/>
        <v>0</v>
      </c>
      <c r="T27" s="209">
        <v>2.9978510000000002E-3</v>
      </c>
      <c r="U27" s="212">
        <f t="shared" si="9"/>
        <v>0</v>
      </c>
    </row>
    <row r="28" spans="2:21" ht="16.2" customHeight="1" x14ac:dyDescent="0.3">
      <c r="B28" s="364"/>
      <c r="C28" s="364"/>
      <c r="D28" s="364"/>
      <c r="E28" s="364"/>
      <c r="F28" s="364"/>
      <c r="G28" s="364"/>
      <c r="J28" s="317"/>
      <c r="K28" s="281" t="s">
        <v>523</v>
      </c>
      <c r="L28" s="15"/>
      <c r="M28" s="318">
        <v>9.8700000000000003E-3</v>
      </c>
      <c r="N28" s="326"/>
      <c r="O28" s="212">
        <f t="shared" si="6"/>
        <v>0</v>
      </c>
      <c r="P28" s="320">
        <v>3.8506679999999998E-3</v>
      </c>
      <c r="Q28" s="212">
        <f t="shared" si="7"/>
        <v>0</v>
      </c>
      <c r="R28" s="209">
        <v>2.6400170000000001E-3</v>
      </c>
      <c r="S28" s="212">
        <f t="shared" si="8"/>
        <v>0</v>
      </c>
      <c r="T28" s="209">
        <v>1.465772E-3</v>
      </c>
      <c r="U28" s="212">
        <f t="shared" si="9"/>
        <v>0</v>
      </c>
    </row>
    <row r="29" spans="2:21" ht="16.2" customHeight="1" x14ac:dyDescent="0.3">
      <c r="B29" s="364"/>
      <c r="C29" s="364"/>
      <c r="D29" s="364"/>
      <c r="E29" s="364"/>
      <c r="F29" s="364"/>
      <c r="G29" s="364"/>
      <c r="J29" s="317"/>
      <c r="K29" s="281" t="s">
        <v>524</v>
      </c>
      <c r="L29" s="15"/>
      <c r="M29" s="318">
        <v>6.7499999999999999E-3</v>
      </c>
      <c r="N29" s="326"/>
      <c r="O29" s="212">
        <f t="shared" si="6"/>
        <v>0</v>
      </c>
      <c r="P29" s="320">
        <v>2.2305879999999999E-3</v>
      </c>
      <c r="Q29" s="212">
        <f t="shared" si="7"/>
        <v>0</v>
      </c>
      <c r="R29" s="209">
        <v>1.488109E-3</v>
      </c>
      <c r="S29" s="212">
        <f t="shared" si="8"/>
        <v>0</v>
      </c>
      <c r="T29" s="209">
        <v>8.0960699999999995E-4</v>
      </c>
      <c r="U29" s="212">
        <f t="shared" si="9"/>
        <v>0</v>
      </c>
    </row>
    <row r="30" spans="2:21" ht="16.2" customHeight="1" x14ac:dyDescent="0.3">
      <c r="B30" s="364"/>
      <c r="C30" s="364"/>
      <c r="D30" s="364"/>
      <c r="E30" s="364"/>
      <c r="F30" s="364"/>
      <c r="G30" s="364"/>
      <c r="J30" s="317"/>
      <c r="K30" s="281" t="s">
        <v>525</v>
      </c>
      <c r="L30" s="15"/>
      <c r="M30" s="318">
        <v>2.3810000000000001E-2</v>
      </c>
      <c r="N30" s="326"/>
      <c r="O30" s="212">
        <f t="shared" si="6"/>
        <v>0</v>
      </c>
      <c r="P30" s="320">
        <v>2.6029868000000001E-2</v>
      </c>
      <c r="Q30" s="212">
        <f t="shared" si="7"/>
        <v>0</v>
      </c>
      <c r="R30" s="209">
        <v>1.9522401000000002E-2</v>
      </c>
      <c r="S30" s="212">
        <f t="shared" si="8"/>
        <v>0</v>
      </c>
      <c r="T30" s="209">
        <v>1.3014934000000001E-2</v>
      </c>
      <c r="U30" s="212">
        <f t="shared" si="9"/>
        <v>0</v>
      </c>
    </row>
    <row r="31" spans="2:21" ht="16.2" customHeight="1" x14ac:dyDescent="0.3">
      <c r="B31" s="299" t="s">
        <v>488</v>
      </c>
      <c r="C31" s="145"/>
      <c r="D31" s="145"/>
      <c r="E31" s="145"/>
      <c r="F31" s="145"/>
      <c r="G31" s="145"/>
      <c r="J31" s="317"/>
      <c r="K31" s="281" t="s">
        <v>526</v>
      </c>
      <c r="L31" s="15"/>
      <c r="M31" s="318">
        <v>6.7499999999999999E-3</v>
      </c>
      <c r="N31" s="326"/>
      <c r="O31" s="212">
        <f t="shared" si="6"/>
        <v>0</v>
      </c>
      <c r="P31" s="320">
        <v>2.2184119999999999E-3</v>
      </c>
      <c r="Q31" s="212">
        <f t="shared" si="7"/>
        <v>0</v>
      </c>
      <c r="R31" s="209">
        <v>1.663809E-3</v>
      </c>
      <c r="S31" s="212">
        <f t="shared" si="8"/>
        <v>0</v>
      </c>
      <c r="T31" s="209">
        <v>1.109206E-3</v>
      </c>
      <c r="U31" s="212">
        <f t="shared" si="9"/>
        <v>0</v>
      </c>
    </row>
    <row r="32" spans="2:21" ht="16.2" customHeight="1" x14ac:dyDescent="0.3">
      <c r="B32" s="345" t="s">
        <v>581</v>
      </c>
      <c r="C32" s="145"/>
      <c r="D32" s="145"/>
      <c r="E32" s="145"/>
      <c r="F32" s="145"/>
      <c r="G32" s="145"/>
      <c r="J32" s="317"/>
      <c r="K32" s="281" t="s">
        <v>527</v>
      </c>
      <c r="L32" s="15"/>
      <c r="M32" s="318">
        <v>8.4600000000000005E-3</v>
      </c>
      <c r="N32" s="326"/>
      <c r="O32" s="212">
        <f t="shared" si="6"/>
        <v>0</v>
      </c>
      <c r="P32" s="320">
        <v>4.7058500000000001E-3</v>
      </c>
      <c r="Q32" s="212">
        <f t="shared" si="7"/>
        <v>0</v>
      </c>
      <c r="R32" s="209">
        <v>3.5293870000000001E-3</v>
      </c>
      <c r="S32" s="212">
        <f t="shared" si="8"/>
        <v>0</v>
      </c>
      <c r="T32" s="209">
        <v>2.3529250000000001E-3</v>
      </c>
      <c r="U32" s="212">
        <f t="shared" si="9"/>
        <v>0</v>
      </c>
    </row>
    <row r="33" spans="2:21" ht="16.2" customHeight="1" x14ac:dyDescent="0.3">
      <c r="B33" s="346" t="s">
        <v>578</v>
      </c>
      <c r="C33" s="145"/>
      <c r="D33" s="145"/>
      <c r="E33" s="145"/>
      <c r="F33" s="145"/>
      <c r="G33" s="145"/>
      <c r="J33" s="317"/>
      <c r="K33" s="281" t="s">
        <v>528</v>
      </c>
      <c r="L33" s="15"/>
      <c r="M33" s="318">
        <v>4.2599999999999999E-3</v>
      </c>
      <c r="N33" s="326"/>
      <c r="O33" s="212">
        <f t="shared" si="6"/>
        <v>0</v>
      </c>
      <c r="P33" s="320">
        <v>1.98044E-3</v>
      </c>
      <c r="Q33" s="212">
        <f t="shared" si="7"/>
        <v>0</v>
      </c>
      <c r="R33" s="209">
        <v>1.48533E-3</v>
      </c>
      <c r="S33" s="212">
        <f t="shared" si="8"/>
        <v>0</v>
      </c>
      <c r="T33" s="209">
        <v>9.9021999999999999E-4</v>
      </c>
      <c r="U33" s="212">
        <f t="shared" si="9"/>
        <v>0</v>
      </c>
    </row>
    <row r="34" spans="2:21" ht="16.2" customHeight="1" x14ac:dyDescent="0.3">
      <c r="J34" s="317"/>
      <c r="K34" s="281" t="s">
        <v>529</v>
      </c>
      <c r="L34" s="15"/>
      <c r="M34" s="318">
        <v>7.5799999999999999E-3</v>
      </c>
      <c r="N34" s="326"/>
      <c r="O34" s="212">
        <f t="shared" si="6"/>
        <v>0</v>
      </c>
      <c r="P34" s="320">
        <v>1.4170299999999999E-3</v>
      </c>
      <c r="Q34" s="212">
        <f t="shared" si="7"/>
        <v>0</v>
      </c>
      <c r="R34" s="209">
        <v>9.7599299999999998E-4</v>
      </c>
      <c r="S34" s="212">
        <f t="shared" si="8"/>
        <v>0</v>
      </c>
      <c r="T34" s="209">
        <v>5.0834600000000001E-4</v>
      </c>
      <c r="U34" s="212">
        <f t="shared" si="9"/>
        <v>0</v>
      </c>
    </row>
    <row r="35" spans="2:21" ht="15" customHeight="1" x14ac:dyDescent="0.3">
      <c r="J35" s="317"/>
      <c r="K35" s="281" t="s">
        <v>530</v>
      </c>
      <c r="L35" s="15"/>
      <c r="M35" s="318">
        <v>1.074E-2</v>
      </c>
      <c r="N35" s="326"/>
      <c r="O35" s="212">
        <f t="shared" si="6"/>
        <v>0</v>
      </c>
      <c r="P35" s="320">
        <v>2.912778E-3</v>
      </c>
      <c r="Q35" s="212">
        <f t="shared" si="7"/>
        <v>0</v>
      </c>
      <c r="R35" s="209">
        <v>1.6835649999999999E-3</v>
      </c>
      <c r="S35" s="212">
        <f t="shared" si="8"/>
        <v>0</v>
      </c>
      <c r="T35" s="209">
        <v>4.0785099999999998E-4</v>
      </c>
      <c r="U35" s="212">
        <f t="shared" si="9"/>
        <v>0</v>
      </c>
    </row>
    <row r="36" spans="2:21" x14ac:dyDescent="0.3">
      <c r="J36" s="317"/>
      <c r="K36" s="281" t="s">
        <v>531</v>
      </c>
      <c r="L36" s="15"/>
      <c r="M36" s="318">
        <v>1.1809999999999999E-2</v>
      </c>
      <c r="N36" s="326"/>
      <c r="O36" s="212">
        <f t="shared" si="6"/>
        <v>0</v>
      </c>
      <c r="P36" s="320">
        <v>5.3952679999999999E-3</v>
      </c>
      <c r="Q36" s="212">
        <f t="shared" si="7"/>
        <v>0</v>
      </c>
      <c r="R36" s="209">
        <v>4.0464510000000004E-3</v>
      </c>
      <c r="S36" s="212">
        <f t="shared" si="8"/>
        <v>0</v>
      </c>
      <c r="T36" s="209">
        <v>2.697634E-3</v>
      </c>
      <c r="U36" s="212">
        <f t="shared" si="9"/>
        <v>0</v>
      </c>
    </row>
    <row r="37" spans="2:21" x14ac:dyDescent="0.3">
      <c r="J37" s="317"/>
      <c r="K37" s="281" t="s">
        <v>532</v>
      </c>
      <c r="L37" s="15"/>
      <c r="M37" s="318">
        <v>6.7499999999999999E-3</v>
      </c>
      <c r="N37" s="326"/>
      <c r="O37" s="212">
        <f t="shared" si="6"/>
        <v>0</v>
      </c>
      <c r="P37" s="320">
        <v>3.3466400000000001E-3</v>
      </c>
      <c r="Q37" s="212">
        <f t="shared" si="7"/>
        <v>0</v>
      </c>
      <c r="R37" s="209">
        <v>2.6921829999999999E-3</v>
      </c>
      <c r="S37" s="212">
        <f t="shared" si="8"/>
        <v>0</v>
      </c>
      <c r="T37" s="209">
        <v>2.0527309999999999E-3</v>
      </c>
      <c r="U37" s="212">
        <f t="shared" si="9"/>
        <v>0</v>
      </c>
    </row>
    <row r="38" spans="2:21" x14ac:dyDescent="0.3">
      <c r="J38" s="317"/>
      <c r="K38" s="281" t="s">
        <v>533</v>
      </c>
      <c r="L38" s="15"/>
      <c r="M38" s="318">
        <v>1.1809999999999999E-2</v>
      </c>
      <c r="N38" s="326"/>
      <c r="O38" s="212">
        <f t="shared" si="6"/>
        <v>0</v>
      </c>
      <c r="P38" s="320">
        <v>5.3958000000000001E-3</v>
      </c>
      <c r="Q38" s="212">
        <f t="shared" si="7"/>
        <v>0</v>
      </c>
      <c r="R38" s="209">
        <v>4.0468500000000003E-3</v>
      </c>
      <c r="S38" s="212">
        <f t="shared" si="8"/>
        <v>0</v>
      </c>
      <c r="T38" s="209">
        <v>2.6979E-3</v>
      </c>
      <c r="U38" s="212">
        <f t="shared" si="9"/>
        <v>0</v>
      </c>
    </row>
    <row r="39" spans="2:21" x14ac:dyDescent="0.3">
      <c r="J39" s="317"/>
      <c r="K39" s="281" t="s">
        <v>534</v>
      </c>
      <c r="L39" s="15"/>
      <c r="M39" s="318">
        <v>4.2599999999999999E-3</v>
      </c>
      <c r="N39" s="326"/>
      <c r="O39" s="212">
        <f t="shared" si="6"/>
        <v>0</v>
      </c>
      <c r="P39" s="320">
        <v>8.8318700000000001E-4</v>
      </c>
      <c r="Q39" s="212">
        <f t="shared" si="7"/>
        <v>0</v>
      </c>
      <c r="R39" s="209">
        <v>5.6805099999999997E-4</v>
      </c>
      <c r="S39" s="212">
        <f t="shared" si="8"/>
        <v>0</v>
      </c>
      <c r="T39" s="209">
        <v>1.6315200000000001E-4</v>
      </c>
      <c r="U39" s="212">
        <f t="shared" si="9"/>
        <v>0</v>
      </c>
    </row>
    <row r="40" spans="2:21" x14ac:dyDescent="0.3">
      <c r="J40" s="317"/>
      <c r="K40" s="281" t="s">
        <v>535</v>
      </c>
      <c r="L40" s="15"/>
      <c r="M40" s="318">
        <v>7.5799999999999999E-3</v>
      </c>
      <c r="N40" s="326"/>
      <c r="O40" s="212">
        <f t="shared" si="6"/>
        <v>0</v>
      </c>
      <c r="P40" s="320">
        <v>2.6908520000000001E-3</v>
      </c>
      <c r="Q40" s="212">
        <f t="shared" si="7"/>
        <v>0</v>
      </c>
      <c r="R40" s="209">
        <v>1.65234E-3</v>
      </c>
      <c r="S40" s="212">
        <f t="shared" si="8"/>
        <v>0</v>
      </c>
      <c r="T40" s="209">
        <v>5.8189299999999999E-4</v>
      </c>
      <c r="U40" s="212">
        <f t="shared" si="9"/>
        <v>0</v>
      </c>
    </row>
    <row r="41" spans="2:21" x14ac:dyDescent="0.3">
      <c r="J41" s="317"/>
      <c r="K41" s="281" t="s">
        <v>536</v>
      </c>
      <c r="L41" s="15"/>
      <c r="M41" s="318">
        <v>8.4600000000000005E-3</v>
      </c>
      <c r="N41" s="326"/>
      <c r="O41" s="212">
        <f t="shared" si="6"/>
        <v>0</v>
      </c>
      <c r="P41" s="320">
        <v>2.9340059999999999E-3</v>
      </c>
      <c r="Q41" s="212">
        <f t="shared" si="7"/>
        <v>0</v>
      </c>
      <c r="R41" s="209">
        <v>1.867699E-3</v>
      </c>
      <c r="S41" s="212">
        <f t="shared" si="8"/>
        <v>0</v>
      </c>
      <c r="T41" s="209">
        <v>8.39571E-4</v>
      </c>
      <c r="U41" s="212">
        <f t="shared" si="9"/>
        <v>0</v>
      </c>
    </row>
    <row r="42" spans="2:21" x14ac:dyDescent="0.3">
      <c r="J42" s="317"/>
      <c r="K42" s="281" t="s">
        <v>537</v>
      </c>
      <c r="L42" s="15"/>
      <c r="M42" s="318">
        <v>9.8700000000000003E-3</v>
      </c>
      <c r="N42" s="326"/>
      <c r="O42" s="212">
        <f t="shared" si="6"/>
        <v>0</v>
      </c>
      <c r="P42" s="320">
        <v>2.956738E-3</v>
      </c>
      <c r="Q42" s="212">
        <f t="shared" si="7"/>
        <v>0</v>
      </c>
      <c r="R42" s="209">
        <v>2.2501219999999998E-3</v>
      </c>
      <c r="S42" s="212">
        <f t="shared" si="8"/>
        <v>0</v>
      </c>
      <c r="T42" s="209">
        <v>1.3556099999999999E-3</v>
      </c>
      <c r="U42" s="212">
        <f t="shared" si="9"/>
        <v>0</v>
      </c>
    </row>
    <row r="43" spans="2:21" x14ac:dyDescent="0.3">
      <c r="J43" s="317"/>
      <c r="K43" s="281" t="s">
        <v>538</v>
      </c>
      <c r="L43" s="15"/>
      <c r="M43" s="318">
        <v>7.5799999999999999E-3</v>
      </c>
      <c r="N43" s="326"/>
      <c r="O43" s="212">
        <f t="shared" si="6"/>
        <v>0</v>
      </c>
      <c r="P43" s="320">
        <v>1.901982E-3</v>
      </c>
      <c r="Q43" s="212">
        <f t="shared" si="7"/>
        <v>0</v>
      </c>
      <c r="R43" s="209">
        <v>1.3290890000000001E-3</v>
      </c>
      <c r="S43" s="212">
        <f t="shared" si="8"/>
        <v>0</v>
      </c>
      <c r="T43" s="209">
        <v>7.6209300000000004E-4</v>
      </c>
      <c r="U43" s="212">
        <f t="shared" si="9"/>
        <v>0</v>
      </c>
    </row>
    <row r="44" spans="2:21" x14ac:dyDescent="0.3">
      <c r="J44" s="317"/>
      <c r="K44" s="281" t="s">
        <v>539</v>
      </c>
      <c r="L44" s="15"/>
      <c r="M44" s="318">
        <v>1.074E-2</v>
      </c>
      <c r="N44" s="326"/>
      <c r="O44" s="212">
        <f t="shared" si="6"/>
        <v>0</v>
      </c>
      <c r="P44" s="320">
        <v>1.9282259999999999E-3</v>
      </c>
      <c r="Q44" s="212">
        <f t="shared" si="7"/>
        <v>0</v>
      </c>
      <c r="R44" s="209">
        <v>1.0064259999999999E-3</v>
      </c>
      <c r="S44" s="212">
        <f t="shared" si="8"/>
        <v>0</v>
      </c>
      <c r="T44" s="209">
        <v>6.7983000000000003E-5</v>
      </c>
      <c r="U44" s="212">
        <f t="shared" si="9"/>
        <v>0</v>
      </c>
    </row>
    <row r="45" spans="2:21" x14ac:dyDescent="0.3">
      <c r="J45" s="317"/>
      <c r="K45" s="281" t="s">
        <v>540</v>
      </c>
      <c r="L45" s="15"/>
      <c r="M45" s="318">
        <v>7.5799999999999999E-3</v>
      </c>
      <c r="N45" s="326"/>
      <c r="O45" s="212">
        <f t="shared" si="6"/>
        <v>0</v>
      </c>
      <c r="P45" s="320">
        <v>3.8080330000000002E-3</v>
      </c>
      <c r="Q45" s="212">
        <f t="shared" si="7"/>
        <v>0</v>
      </c>
      <c r="R45" s="209">
        <v>2.8560249999999999E-3</v>
      </c>
      <c r="S45" s="212">
        <f t="shared" si="8"/>
        <v>0</v>
      </c>
      <c r="T45" s="209">
        <v>1.904017E-3</v>
      </c>
      <c r="U45" s="212">
        <f t="shared" si="9"/>
        <v>0</v>
      </c>
    </row>
    <row r="46" spans="2:21" x14ac:dyDescent="0.3">
      <c r="J46" s="317"/>
      <c r="K46" s="281" t="s">
        <v>541</v>
      </c>
      <c r="L46" s="15"/>
      <c r="M46" s="318">
        <v>9.8700000000000003E-3</v>
      </c>
      <c r="N46" s="326"/>
      <c r="O46" s="212">
        <f t="shared" si="6"/>
        <v>0</v>
      </c>
      <c r="P46" s="320">
        <v>4.4795700000000004E-3</v>
      </c>
      <c r="Q46" s="212">
        <f t="shared" si="7"/>
        <v>0</v>
      </c>
      <c r="R46" s="209">
        <v>3.3596780000000001E-3</v>
      </c>
      <c r="S46" s="212">
        <f t="shared" si="8"/>
        <v>0</v>
      </c>
      <c r="T46" s="209">
        <v>2.2397850000000002E-3</v>
      </c>
      <c r="U46" s="212">
        <f t="shared" si="9"/>
        <v>0</v>
      </c>
    </row>
    <row r="47" spans="2:21" x14ac:dyDescent="0.3">
      <c r="J47" s="317"/>
      <c r="K47" s="281" t="s">
        <v>542</v>
      </c>
      <c r="L47" s="15"/>
      <c r="M47" s="318">
        <v>2.3810000000000001E-2</v>
      </c>
      <c r="N47" s="326"/>
      <c r="O47" s="212">
        <f t="shared" si="6"/>
        <v>0</v>
      </c>
      <c r="P47" s="320">
        <v>8.5050750000000008E-3</v>
      </c>
      <c r="Q47" s="212">
        <f t="shared" si="7"/>
        <v>0</v>
      </c>
      <c r="R47" s="209">
        <v>6.3788059999999999E-3</v>
      </c>
      <c r="S47" s="212">
        <f t="shared" si="8"/>
        <v>0</v>
      </c>
      <c r="T47" s="209">
        <v>4.2525369999999998E-3</v>
      </c>
      <c r="U47" s="212">
        <f t="shared" si="9"/>
        <v>0</v>
      </c>
    </row>
    <row r="48" spans="2:21" x14ac:dyDescent="0.3">
      <c r="J48" s="317"/>
      <c r="K48" s="281" t="s">
        <v>543</v>
      </c>
      <c r="L48" s="15"/>
      <c r="M48" s="318">
        <v>1.074E-2</v>
      </c>
      <c r="N48" s="326"/>
      <c r="O48" s="212">
        <f t="shared" si="6"/>
        <v>0</v>
      </c>
      <c r="P48" s="320">
        <v>1.823381E-3</v>
      </c>
      <c r="Q48" s="212">
        <f t="shared" si="7"/>
        <v>0</v>
      </c>
      <c r="R48" s="209">
        <v>1.3675359999999999E-3</v>
      </c>
      <c r="S48" s="212">
        <f t="shared" si="8"/>
        <v>0</v>
      </c>
      <c r="T48" s="209">
        <v>9.1169099999999996E-4</v>
      </c>
      <c r="U48" s="212">
        <f t="shared" si="9"/>
        <v>0</v>
      </c>
    </row>
    <row r="49" spans="10:21" x14ac:dyDescent="0.3">
      <c r="J49" s="317"/>
      <c r="K49" s="281" t="s">
        <v>544</v>
      </c>
      <c r="L49" s="15"/>
      <c r="M49" s="318">
        <v>2.3810000000000001E-2</v>
      </c>
      <c r="N49" s="326"/>
      <c r="O49" s="212">
        <f t="shared" si="6"/>
        <v>0</v>
      </c>
      <c r="P49" s="320">
        <v>6.3218190000000002E-3</v>
      </c>
      <c r="Q49" s="212">
        <f t="shared" si="7"/>
        <v>0</v>
      </c>
      <c r="R49" s="209">
        <v>4.741365E-3</v>
      </c>
      <c r="S49" s="212">
        <f t="shared" si="8"/>
        <v>0</v>
      </c>
      <c r="T49" s="209">
        <v>3.1609099999999998E-3</v>
      </c>
      <c r="U49" s="212">
        <f t="shared" si="9"/>
        <v>0</v>
      </c>
    </row>
    <row r="50" spans="10:21" x14ac:dyDescent="0.3">
      <c r="J50" s="317"/>
      <c r="K50" s="281" t="s">
        <v>545</v>
      </c>
      <c r="L50" s="15"/>
      <c r="M50" s="318">
        <v>2.3810000000000001E-2</v>
      </c>
      <c r="N50" s="326"/>
      <c r="O50" s="212">
        <f t="shared" si="6"/>
        <v>0</v>
      </c>
      <c r="P50" s="320">
        <v>1.0446456E-2</v>
      </c>
      <c r="Q50" s="212">
        <f t="shared" si="7"/>
        <v>0</v>
      </c>
      <c r="R50" s="209">
        <v>7.8348419999999998E-3</v>
      </c>
      <c r="S50" s="212">
        <f t="shared" si="8"/>
        <v>0</v>
      </c>
      <c r="T50" s="209">
        <v>5.2232279999999999E-3</v>
      </c>
      <c r="U50" s="212">
        <f t="shared" si="9"/>
        <v>0</v>
      </c>
    </row>
    <row r="51" spans="10:21" x14ac:dyDescent="0.3">
      <c r="J51" s="317"/>
      <c r="K51" s="281" t="s">
        <v>546</v>
      </c>
      <c r="L51" s="15"/>
      <c r="M51" s="318">
        <v>1.1809999999999999E-2</v>
      </c>
      <c r="N51" s="326"/>
      <c r="O51" s="212">
        <f t="shared" si="6"/>
        <v>0</v>
      </c>
      <c r="P51" s="320">
        <v>6.0183229999999999E-3</v>
      </c>
      <c r="Q51" s="212">
        <f t="shared" si="7"/>
        <v>0</v>
      </c>
      <c r="R51" s="209">
        <v>4.5137420000000003E-3</v>
      </c>
      <c r="S51" s="212">
        <f t="shared" si="8"/>
        <v>0</v>
      </c>
      <c r="T51" s="209">
        <v>3.0091610000000002E-3</v>
      </c>
      <c r="U51" s="212">
        <f t="shared" si="9"/>
        <v>0</v>
      </c>
    </row>
    <row r="52" spans="10:21" x14ac:dyDescent="0.3">
      <c r="J52" s="317"/>
      <c r="K52" s="281" t="s">
        <v>547</v>
      </c>
      <c r="L52" s="15"/>
      <c r="M52" s="318">
        <v>4.2599999999999999E-3</v>
      </c>
      <c r="N52" s="326"/>
      <c r="O52" s="212">
        <f t="shared" si="6"/>
        <v>0</v>
      </c>
      <c r="P52" s="320">
        <v>2.1442100000000001E-4</v>
      </c>
      <c r="Q52" s="212">
        <f t="shared" si="7"/>
        <v>0</v>
      </c>
      <c r="R52" s="209">
        <v>1.04943E-4</v>
      </c>
      <c r="S52" s="212">
        <f t="shared" si="8"/>
        <v>0</v>
      </c>
      <c r="T52" s="209">
        <v>0</v>
      </c>
      <c r="U52" s="212">
        <f t="shared" si="9"/>
        <v>0</v>
      </c>
    </row>
    <row r="53" spans="10:21" x14ac:dyDescent="0.3">
      <c r="J53" s="317"/>
      <c r="K53" s="281" t="s">
        <v>548</v>
      </c>
      <c r="L53" s="15"/>
      <c r="M53" s="318">
        <v>8.4600000000000005E-3</v>
      </c>
      <c r="N53" s="326"/>
      <c r="O53" s="212">
        <f t="shared" si="6"/>
        <v>0</v>
      </c>
      <c r="P53" s="320">
        <v>2.4725390000000002E-3</v>
      </c>
      <c r="Q53" s="212">
        <f t="shared" si="7"/>
        <v>0</v>
      </c>
      <c r="R53" s="209">
        <v>1.399345E-3</v>
      </c>
      <c r="S53" s="212">
        <f t="shared" si="8"/>
        <v>0</v>
      </c>
      <c r="T53" s="209">
        <v>0</v>
      </c>
      <c r="U53" s="212">
        <f t="shared" si="9"/>
        <v>0</v>
      </c>
    </row>
    <row r="54" spans="10:21" x14ac:dyDescent="0.3">
      <c r="J54" s="317"/>
      <c r="K54" s="281" t="s">
        <v>549</v>
      </c>
      <c r="L54" s="15"/>
      <c r="M54" s="318">
        <v>5.7400000000000003E-3</v>
      </c>
      <c r="N54" s="326"/>
      <c r="O54" s="212">
        <f t="shared" si="6"/>
        <v>0</v>
      </c>
      <c r="P54" s="320">
        <v>4.8430369999999997E-3</v>
      </c>
      <c r="Q54" s="212">
        <f t="shared" si="7"/>
        <v>0</v>
      </c>
      <c r="R54" s="209">
        <v>3.6322780000000001E-3</v>
      </c>
      <c r="S54" s="212">
        <f t="shared" si="8"/>
        <v>0</v>
      </c>
      <c r="T54" s="209">
        <v>2.421519E-3</v>
      </c>
      <c r="U54" s="212">
        <f t="shared" si="9"/>
        <v>0</v>
      </c>
    </row>
    <row r="55" spans="10:21" x14ac:dyDescent="0.3">
      <c r="J55" s="317"/>
      <c r="K55" s="281" t="s">
        <v>550</v>
      </c>
      <c r="L55" s="15"/>
      <c r="M55" s="318">
        <v>6.7499999999999999E-3</v>
      </c>
      <c r="N55" s="326"/>
      <c r="O55" s="212">
        <f t="shared" si="6"/>
        <v>0</v>
      </c>
      <c r="P55" s="320">
        <v>2.3628740000000001E-3</v>
      </c>
      <c r="Q55" s="212">
        <f t="shared" si="7"/>
        <v>0</v>
      </c>
      <c r="R55" s="209">
        <v>1.7721550000000001E-3</v>
      </c>
      <c r="S55" s="212">
        <f t="shared" si="8"/>
        <v>0</v>
      </c>
      <c r="T55" s="209">
        <v>1.181437E-3</v>
      </c>
      <c r="U55" s="212">
        <f t="shared" si="9"/>
        <v>0</v>
      </c>
    </row>
    <row r="56" spans="10:21" x14ac:dyDescent="0.3">
      <c r="J56" s="317"/>
      <c r="K56" s="281" t="s">
        <v>551</v>
      </c>
      <c r="L56" s="15"/>
      <c r="M56" s="318">
        <v>9.8700000000000003E-3</v>
      </c>
      <c r="N56" s="326"/>
      <c r="O56" s="212">
        <f t="shared" si="6"/>
        <v>0</v>
      </c>
      <c r="P56" s="320">
        <v>2.8521309999999999E-3</v>
      </c>
      <c r="Q56" s="212">
        <f t="shared" si="7"/>
        <v>0</v>
      </c>
      <c r="R56" s="209">
        <v>2.1390979999999999E-3</v>
      </c>
      <c r="S56" s="212">
        <f t="shared" si="8"/>
        <v>0</v>
      </c>
      <c r="T56" s="209">
        <v>1.4260659999999999E-3</v>
      </c>
      <c r="U56" s="212">
        <f t="shared" si="9"/>
        <v>0</v>
      </c>
    </row>
    <row r="57" spans="10:21" x14ac:dyDescent="0.3">
      <c r="J57" s="317"/>
      <c r="K57" s="281" t="s">
        <v>552</v>
      </c>
      <c r="L57" s="15"/>
      <c r="M57" s="318">
        <v>4.2599999999999999E-3</v>
      </c>
      <c r="N57" s="326"/>
      <c r="O57" s="212">
        <f t="shared" si="6"/>
        <v>0</v>
      </c>
      <c r="P57" s="320">
        <v>2.210699E-3</v>
      </c>
      <c r="Q57" s="212">
        <f t="shared" si="7"/>
        <v>0</v>
      </c>
      <c r="R57" s="209">
        <v>1.6580239999999999E-3</v>
      </c>
      <c r="S57" s="212">
        <f t="shared" si="8"/>
        <v>0</v>
      </c>
      <c r="T57" s="209">
        <v>1.105349E-3</v>
      </c>
      <c r="U57" s="212">
        <f t="shared" si="9"/>
        <v>0</v>
      </c>
    </row>
    <row r="58" spans="10:21" x14ac:dyDescent="0.3">
      <c r="J58" s="317"/>
      <c r="K58" s="281" t="s">
        <v>553</v>
      </c>
      <c r="L58" s="15"/>
      <c r="M58" s="318">
        <v>7.5799999999999999E-3</v>
      </c>
      <c r="N58" s="326"/>
      <c r="O58" s="212">
        <f t="shared" si="6"/>
        <v>0</v>
      </c>
      <c r="P58" s="320">
        <v>2.464089E-3</v>
      </c>
      <c r="Q58" s="212">
        <f t="shared" si="7"/>
        <v>0</v>
      </c>
      <c r="R58" s="209">
        <v>1.332459E-3</v>
      </c>
      <c r="S58" s="212">
        <f t="shared" si="8"/>
        <v>0</v>
      </c>
      <c r="T58" s="209">
        <v>5.2861599999999998E-4</v>
      </c>
      <c r="U58" s="212">
        <f t="shared" si="9"/>
        <v>0</v>
      </c>
    </row>
    <row r="59" spans="10:21" x14ac:dyDescent="0.3">
      <c r="J59" s="317"/>
      <c r="K59" s="281" t="s">
        <v>554</v>
      </c>
      <c r="L59" s="15"/>
      <c r="M59" s="318">
        <v>1.1379999999999999E-2</v>
      </c>
      <c r="N59" s="326"/>
      <c r="O59" s="212">
        <f t="shared" si="6"/>
        <v>0</v>
      </c>
      <c r="P59" s="320">
        <v>4.8931240000000004E-3</v>
      </c>
      <c r="Q59" s="212">
        <f t="shared" si="7"/>
        <v>0</v>
      </c>
      <c r="R59" s="209">
        <v>4.0278120000000004E-3</v>
      </c>
      <c r="S59" s="212">
        <f t="shared" si="8"/>
        <v>0</v>
      </c>
      <c r="T59" s="209">
        <v>2.272629E-3</v>
      </c>
      <c r="U59" s="212">
        <f t="shared" si="9"/>
        <v>0</v>
      </c>
    </row>
    <row r="60" spans="10:21" x14ac:dyDescent="0.3">
      <c r="J60" s="317"/>
      <c r="K60" s="281" t="s">
        <v>555</v>
      </c>
      <c r="L60" s="15"/>
      <c r="M60" s="318">
        <v>1.1809999999999999E-2</v>
      </c>
      <c r="N60" s="326"/>
      <c r="O60" s="212">
        <f t="shared" si="6"/>
        <v>0</v>
      </c>
      <c r="P60" s="320">
        <v>4.038374E-3</v>
      </c>
      <c r="Q60" s="212">
        <f t="shared" si="7"/>
        <v>0</v>
      </c>
      <c r="R60" s="209">
        <v>3.02878E-3</v>
      </c>
      <c r="S60" s="212">
        <f t="shared" si="8"/>
        <v>0</v>
      </c>
      <c r="T60" s="209">
        <v>2.019187E-3</v>
      </c>
      <c r="U60" s="212">
        <f t="shared" si="9"/>
        <v>0</v>
      </c>
    </row>
    <row r="61" spans="10:21" x14ac:dyDescent="0.3">
      <c r="J61" s="317"/>
      <c r="K61" s="281" t="s">
        <v>556</v>
      </c>
      <c r="L61" s="15"/>
      <c r="M61" s="318">
        <v>7.5799999999999999E-3</v>
      </c>
      <c r="N61" s="326"/>
      <c r="O61" s="212">
        <f t="shared" si="6"/>
        <v>0</v>
      </c>
      <c r="P61" s="320">
        <v>2.1044900000000001E-3</v>
      </c>
      <c r="Q61" s="212">
        <f t="shared" si="7"/>
        <v>0</v>
      </c>
      <c r="R61" s="209">
        <v>1.21605E-3</v>
      </c>
      <c r="S61" s="212">
        <f t="shared" si="8"/>
        <v>0</v>
      </c>
      <c r="T61" s="209">
        <v>1.7604E-4</v>
      </c>
      <c r="U61" s="212">
        <f t="shared" si="9"/>
        <v>0</v>
      </c>
    </row>
    <row r="62" spans="10:21" x14ac:dyDescent="0.3">
      <c r="J62" s="317"/>
      <c r="K62" s="281" t="s">
        <v>557</v>
      </c>
      <c r="L62" s="15"/>
      <c r="M62" s="318">
        <v>4.2599999999999999E-3</v>
      </c>
      <c r="N62" s="326"/>
      <c r="O62" s="212">
        <f t="shared" si="6"/>
        <v>0</v>
      </c>
      <c r="P62" s="320">
        <v>6.1182999999999995E-4</v>
      </c>
      <c r="Q62" s="212">
        <f t="shared" si="7"/>
        <v>0</v>
      </c>
      <c r="R62" s="209">
        <v>4.0490099999999999E-4</v>
      </c>
      <c r="S62" s="212">
        <f t="shared" si="8"/>
        <v>0</v>
      </c>
      <c r="T62" s="209">
        <v>1.3228200000000001E-4</v>
      </c>
      <c r="U62" s="212">
        <f t="shared" si="9"/>
        <v>0</v>
      </c>
    </row>
    <row r="63" spans="10:21" x14ac:dyDescent="0.3">
      <c r="J63" s="317"/>
      <c r="K63" s="281" t="s">
        <v>558</v>
      </c>
      <c r="L63" s="15"/>
      <c r="M63" s="318">
        <v>1.1379999999999999E-2</v>
      </c>
      <c r="N63" s="326"/>
      <c r="O63" s="212">
        <f t="shared" si="6"/>
        <v>0</v>
      </c>
      <c r="P63" s="320">
        <v>4.4101230000000002E-3</v>
      </c>
      <c r="Q63" s="212">
        <f t="shared" si="7"/>
        <v>0</v>
      </c>
      <c r="R63" s="209">
        <v>3.3364430000000001E-3</v>
      </c>
      <c r="S63" s="212">
        <f t="shared" si="8"/>
        <v>0</v>
      </c>
      <c r="T63" s="209">
        <v>2.277912E-3</v>
      </c>
      <c r="U63" s="212">
        <f t="shared" si="9"/>
        <v>0</v>
      </c>
    </row>
    <row r="64" spans="10:21" x14ac:dyDescent="0.3">
      <c r="J64" s="317"/>
      <c r="K64" s="281" t="s">
        <v>559</v>
      </c>
      <c r="L64" s="15"/>
      <c r="M64" s="318">
        <v>9.8700000000000003E-3</v>
      </c>
      <c r="N64" s="326"/>
      <c r="O64" s="212">
        <f t="shared" si="6"/>
        <v>0</v>
      </c>
      <c r="P64" s="320">
        <v>3.833108E-3</v>
      </c>
      <c r="Q64" s="212">
        <f t="shared" si="7"/>
        <v>0</v>
      </c>
      <c r="R64" s="209">
        <v>2.874831E-3</v>
      </c>
      <c r="S64" s="212">
        <f t="shared" si="8"/>
        <v>0</v>
      </c>
      <c r="T64" s="209">
        <v>1.916554E-3</v>
      </c>
      <c r="U64" s="212">
        <f t="shared" si="9"/>
        <v>0</v>
      </c>
    </row>
    <row r="65" spans="10:21" x14ac:dyDescent="0.3">
      <c r="J65" s="317"/>
      <c r="K65" s="281" t="s">
        <v>560</v>
      </c>
      <c r="L65" s="15"/>
      <c r="M65" s="318">
        <v>1.1809999999999999E-2</v>
      </c>
      <c r="N65" s="326"/>
      <c r="O65" s="212">
        <f t="shared" si="6"/>
        <v>0</v>
      </c>
      <c r="P65" s="320">
        <v>1.361842E-3</v>
      </c>
      <c r="Q65" s="212">
        <f t="shared" si="7"/>
        <v>0</v>
      </c>
      <c r="R65" s="209">
        <v>6.0049300000000001E-4</v>
      </c>
      <c r="S65" s="212">
        <f t="shared" si="8"/>
        <v>0</v>
      </c>
      <c r="T65" s="209">
        <v>3.8512E-5</v>
      </c>
      <c r="U65" s="212">
        <f t="shared" si="9"/>
        <v>0</v>
      </c>
    </row>
    <row r="66" spans="10:21" x14ac:dyDescent="0.3">
      <c r="J66" s="317"/>
      <c r="K66" s="281" t="s">
        <v>561</v>
      </c>
      <c r="L66" s="15"/>
      <c r="M66" s="318">
        <v>2.3810000000000001E-2</v>
      </c>
      <c r="N66" s="326"/>
      <c r="O66" s="212">
        <f t="shared" si="6"/>
        <v>0</v>
      </c>
      <c r="P66" s="320">
        <v>6.7551900000000003E-3</v>
      </c>
      <c r="Q66" s="212">
        <f t="shared" si="7"/>
        <v>0</v>
      </c>
      <c r="R66" s="209">
        <v>4.2561029999999998E-3</v>
      </c>
      <c r="S66" s="212">
        <f t="shared" si="8"/>
        <v>0</v>
      </c>
      <c r="T66" s="209">
        <v>2.0300269999999998E-3</v>
      </c>
      <c r="U66" s="212">
        <f t="shared" si="9"/>
        <v>0</v>
      </c>
    </row>
    <row r="67" spans="10:21" x14ac:dyDescent="0.3">
      <c r="J67" s="317"/>
      <c r="K67" s="281" t="s">
        <v>562</v>
      </c>
      <c r="L67" s="15"/>
      <c r="M67" s="318">
        <v>4.2599999999999999E-3</v>
      </c>
      <c r="N67" s="326"/>
      <c r="O67" s="212">
        <f t="shared" si="6"/>
        <v>0</v>
      </c>
      <c r="P67" s="320">
        <v>5.7166900000000002E-4</v>
      </c>
      <c r="Q67" s="212">
        <f t="shared" si="7"/>
        <v>0</v>
      </c>
      <c r="R67" s="209">
        <v>4.2875200000000002E-4</v>
      </c>
      <c r="S67" s="212">
        <f t="shared" si="8"/>
        <v>0</v>
      </c>
      <c r="T67" s="209">
        <v>2.85834E-4</v>
      </c>
      <c r="U67" s="212">
        <f t="shared" si="9"/>
        <v>0</v>
      </c>
    </row>
    <row r="68" spans="10:21" x14ac:dyDescent="0.3">
      <c r="J68" s="317"/>
      <c r="K68" s="281" t="s">
        <v>563</v>
      </c>
      <c r="L68" s="15"/>
      <c r="M68" s="318">
        <v>1.1809999999999999E-2</v>
      </c>
      <c r="N68" s="326"/>
      <c r="O68" s="212">
        <f t="shared" si="6"/>
        <v>0</v>
      </c>
      <c r="P68" s="320">
        <v>5.7723749999999997E-3</v>
      </c>
      <c r="Q68" s="212">
        <f t="shared" si="7"/>
        <v>0</v>
      </c>
      <c r="R68" s="209">
        <v>4.3292809999999999E-3</v>
      </c>
      <c r="S68" s="212">
        <f t="shared" si="8"/>
        <v>0</v>
      </c>
      <c r="T68" s="209">
        <v>2.8861870000000001E-3</v>
      </c>
      <c r="U68" s="212">
        <f t="shared" si="9"/>
        <v>0</v>
      </c>
    </row>
    <row r="69" spans="10:21" x14ac:dyDescent="0.3">
      <c r="J69" s="317"/>
      <c r="K69" s="281" t="s">
        <v>564</v>
      </c>
      <c r="L69" s="15"/>
      <c r="M69" s="318">
        <v>5.7400000000000003E-3</v>
      </c>
      <c r="N69" s="326"/>
      <c r="O69" s="212">
        <f t="shared" si="6"/>
        <v>0</v>
      </c>
      <c r="P69" s="320">
        <v>4.6131219999999999E-3</v>
      </c>
      <c r="Q69" s="212">
        <f t="shared" si="7"/>
        <v>0</v>
      </c>
      <c r="R69" s="209">
        <v>3.4598419999999999E-3</v>
      </c>
      <c r="S69" s="212">
        <f t="shared" si="8"/>
        <v>0</v>
      </c>
      <c r="T69" s="209">
        <v>2.3065609999999999E-3</v>
      </c>
      <c r="U69" s="212">
        <f t="shared" si="9"/>
        <v>0</v>
      </c>
    </row>
    <row r="70" spans="10:21" x14ac:dyDescent="0.3">
      <c r="J70" s="317"/>
      <c r="K70" s="281" t="s">
        <v>565</v>
      </c>
      <c r="L70" s="15"/>
      <c r="M70" s="318">
        <v>1.1379999999999999E-2</v>
      </c>
      <c r="N70" s="326"/>
      <c r="O70" s="212">
        <f t="shared" si="6"/>
        <v>0</v>
      </c>
      <c r="P70" s="320">
        <v>4.2649619999999997E-3</v>
      </c>
      <c r="Q70" s="212">
        <f t="shared" si="7"/>
        <v>0</v>
      </c>
      <c r="R70" s="209">
        <v>3.1987209999999999E-3</v>
      </c>
      <c r="S70" s="212">
        <f t="shared" si="8"/>
        <v>0</v>
      </c>
      <c r="T70" s="209">
        <v>2.1324809999999999E-3</v>
      </c>
      <c r="U70" s="212">
        <f t="shared" si="9"/>
        <v>0</v>
      </c>
    </row>
    <row r="71" spans="10:21" x14ac:dyDescent="0.3">
      <c r="J71" s="317"/>
      <c r="K71" s="281" t="s">
        <v>566</v>
      </c>
      <c r="L71" s="15"/>
      <c r="M71" s="318">
        <v>5.7400000000000003E-3</v>
      </c>
      <c r="N71" s="326"/>
      <c r="O71" s="212">
        <f t="shared" si="6"/>
        <v>0</v>
      </c>
      <c r="P71" s="320">
        <v>1.2306019999999999E-3</v>
      </c>
      <c r="Q71" s="212">
        <f t="shared" si="7"/>
        <v>0</v>
      </c>
      <c r="R71" s="209">
        <v>8.6692099999999999E-4</v>
      </c>
      <c r="S71" s="212">
        <f t="shared" si="8"/>
        <v>0</v>
      </c>
      <c r="T71" s="209">
        <v>5.4930599999999995E-4</v>
      </c>
      <c r="U71" s="212">
        <f t="shared" si="9"/>
        <v>0</v>
      </c>
    </row>
    <row r="72" spans="10:21" ht="15" thickBot="1" x14ac:dyDescent="0.35">
      <c r="J72" s="347" t="s">
        <v>406</v>
      </c>
      <c r="K72" s="348"/>
      <c r="L72" s="349">
        <f>SUM(L12:L71)</f>
        <v>0</v>
      </c>
      <c r="M72" s="347" t="e">
        <f>O72/$L$72</f>
        <v>#DIV/0!</v>
      </c>
      <c r="N72" s="348"/>
      <c r="O72" s="225">
        <f>SUM(O12:O71)</f>
        <v>0</v>
      </c>
      <c r="P72" s="348" t="e">
        <f>Q72/$L$72</f>
        <v>#DIV/0!</v>
      </c>
      <c r="Q72" s="225">
        <f>SUM(Q12:Q71)</f>
        <v>0</v>
      </c>
      <c r="R72" s="348" t="e">
        <f>S72/$L$72</f>
        <v>#DIV/0!</v>
      </c>
      <c r="S72" s="225">
        <f>SUM(S12:S71)</f>
        <v>0</v>
      </c>
      <c r="T72" s="348" t="e">
        <f>U72/$L$72</f>
        <v>#DIV/0!</v>
      </c>
      <c r="U72" s="225">
        <f>SUM(U12:U71)</f>
        <v>0</v>
      </c>
    </row>
    <row r="73" spans="10:21" x14ac:dyDescent="0.3"/>
    <row r="74" spans="10:21" x14ac:dyDescent="0.3"/>
    <row r="75" spans="10:21" x14ac:dyDescent="0.3"/>
    <row r="76" spans="10:21" x14ac:dyDescent="0.3"/>
  </sheetData>
  <sheetProtection algorithmName="SHA-512" hashValue="XuXJiTjdOSVUg1GUTavFEJVFMSRMqbgpL1fSccY5zqMQ+1g8PmPvxuyHQ1+j/jjQIdmE7lRrrKn8MkHv4Cq2KA==" saltValue="Oz97V5hjT0KaymL+T0Cctg==" spinCount="100000" sheet="1" objects="1" scenarios="1"/>
  <protectedRanges>
    <protectedRange sqref="L12:L26" name="Range1"/>
  </protectedRanges>
  <mergeCells count="16">
    <mergeCell ref="L6:L7"/>
    <mergeCell ref="B27:G30"/>
    <mergeCell ref="T9:U9"/>
    <mergeCell ref="D10:G10"/>
    <mergeCell ref="B9:G9"/>
    <mergeCell ref="B14:G14"/>
    <mergeCell ref="B19:G19"/>
    <mergeCell ref="R9:S9"/>
    <mergeCell ref="P9:Q9"/>
    <mergeCell ref="M9:O9"/>
    <mergeCell ref="J9:L9"/>
    <mergeCell ref="M11:N11"/>
    <mergeCell ref="M10:N10"/>
    <mergeCell ref="J10:K10"/>
    <mergeCell ref="B24:G26"/>
    <mergeCell ref="J6:K7"/>
  </mergeCells>
  <hyperlinks>
    <hyperlink ref="B31" r:id="rId1" xr:uid="{5586E2A6-0474-4D5D-B2AB-FE52335C7BF5}"/>
    <hyperlink ref="B33" r:id="rId2" xr:uid="{173F35E1-0786-4EF4-9351-43D659FBFE12}"/>
  </hyperlinks>
  <pageMargins left="0.7" right="0.7" top="0.75" bottom="0.75" header="0.3" footer="0.3"/>
  <pageSetup orientation="portrait" horizontalDpi="1200" verticalDpi="12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140A34CF-C51B-4CB9-8056-3738D7642023}">
          <x14:formula1>
            <xm:f>Backup!$D$11:$D$12</xm:f>
          </x14:formula1>
          <xm:sqref>L6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627F-7D2C-4016-9D1D-FD34B9084EB1}">
  <sheetPr codeName="Sheet8">
    <tabColor theme="9" tint="0.79998168889431442"/>
  </sheetPr>
  <dimension ref="A1:U165"/>
  <sheetViews>
    <sheetView showGridLines="0" zoomScale="70" zoomScaleNormal="70" workbookViewId="0">
      <selection activeCell="D21" sqref="D21"/>
    </sheetView>
  </sheetViews>
  <sheetFormatPr defaultColWidth="0" defaultRowHeight="14.4" zeroHeight="1" x14ac:dyDescent="0.3"/>
  <cols>
    <col min="1" max="1" width="3.33203125" customWidth="1"/>
    <col min="2" max="2" width="74.88671875" customWidth="1"/>
    <col min="3" max="3" width="31.109375" customWidth="1"/>
    <col min="4" max="4" width="52.5546875" customWidth="1"/>
    <col min="5" max="5" width="26.5546875" customWidth="1"/>
    <col min="6" max="6" width="76.33203125" customWidth="1"/>
    <col min="7" max="9" width="26.5546875" customWidth="1"/>
    <col min="10" max="10" width="31.33203125" customWidth="1"/>
    <col min="11" max="11" width="31.44140625" customWidth="1"/>
    <col min="12" max="13" width="26.5546875" customWidth="1"/>
    <col min="14" max="14" width="28.6640625" customWidth="1"/>
    <col min="15" max="18" width="26.5546875" customWidth="1"/>
    <col min="19" max="19" width="34.5546875" customWidth="1"/>
    <col min="20" max="21" width="26.5546875" customWidth="1"/>
    <col min="22" max="16384" width="26.5546875" hidden="1"/>
  </cols>
  <sheetData>
    <row r="1" spans="2:10" x14ac:dyDescent="0.3"/>
    <row r="2" spans="2:10" x14ac:dyDescent="0.3">
      <c r="B2" s="350" t="s">
        <v>2</v>
      </c>
      <c r="D2" t="s">
        <v>392</v>
      </c>
      <c r="F2" t="s">
        <v>391</v>
      </c>
      <c r="H2" s="180" t="s">
        <v>416</v>
      </c>
      <c r="I2" s="351" t="s">
        <v>392</v>
      </c>
      <c r="J2" s="351" t="s">
        <v>492</v>
      </c>
    </row>
    <row r="3" spans="2:10" x14ac:dyDescent="0.3">
      <c r="B3" t="s">
        <v>641</v>
      </c>
      <c r="D3" t="s">
        <v>393</v>
      </c>
      <c r="F3" t="s">
        <v>611</v>
      </c>
      <c r="H3" s="352" t="s">
        <v>0</v>
      </c>
      <c r="I3" s="353" t="s">
        <v>404</v>
      </c>
      <c r="J3" s="353">
        <v>3412.1416330000002</v>
      </c>
    </row>
    <row r="4" spans="2:10" ht="16.2" x14ac:dyDescent="0.3">
      <c r="B4" t="s">
        <v>617</v>
      </c>
      <c r="D4" t="s">
        <v>395</v>
      </c>
      <c r="F4" t="s">
        <v>396</v>
      </c>
      <c r="H4" s="352" t="s">
        <v>463</v>
      </c>
      <c r="I4" s="353" t="s">
        <v>417</v>
      </c>
      <c r="J4" s="353">
        <v>100000</v>
      </c>
    </row>
    <row r="5" spans="2:10" x14ac:dyDescent="0.3">
      <c r="D5" t="s">
        <v>394</v>
      </c>
      <c r="F5" t="s">
        <v>397</v>
      </c>
      <c r="H5" s="352" t="s">
        <v>449</v>
      </c>
      <c r="I5" s="353" t="s">
        <v>418</v>
      </c>
      <c r="J5" s="353">
        <v>138000</v>
      </c>
    </row>
    <row r="6" spans="2:10" x14ac:dyDescent="0.3">
      <c r="C6" s="354" t="s">
        <v>493</v>
      </c>
      <c r="F6" t="s">
        <v>398</v>
      </c>
      <c r="H6" s="352" t="s">
        <v>450</v>
      </c>
      <c r="I6" s="353" t="s">
        <v>419</v>
      </c>
      <c r="J6" s="353">
        <v>146000</v>
      </c>
    </row>
    <row r="7" spans="2:10" x14ac:dyDescent="0.3">
      <c r="C7" s="354" t="s">
        <v>493</v>
      </c>
      <c r="F7" t="s">
        <v>399</v>
      </c>
      <c r="H7" s="352" t="s">
        <v>460</v>
      </c>
      <c r="I7" s="353" t="s">
        <v>420</v>
      </c>
      <c r="J7" s="353">
        <v>1194000</v>
      </c>
    </row>
    <row r="8" spans="2:10" x14ac:dyDescent="0.3">
      <c r="F8" t="s">
        <v>400</v>
      </c>
      <c r="J8" s="355"/>
    </row>
    <row r="9" spans="2:10" x14ac:dyDescent="0.3">
      <c r="F9" t="s">
        <v>424</v>
      </c>
      <c r="J9" s="355"/>
    </row>
    <row r="10" spans="2:10" x14ac:dyDescent="0.3">
      <c r="D10" s="356" t="s">
        <v>596</v>
      </c>
      <c r="F10" t="s">
        <v>425</v>
      </c>
      <c r="J10" s="357"/>
    </row>
    <row r="11" spans="2:10" x14ac:dyDescent="0.3">
      <c r="D11" s="358" t="s">
        <v>597</v>
      </c>
      <c r="J11" s="357"/>
    </row>
    <row r="12" spans="2:10" x14ac:dyDescent="0.3">
      <c r="D12" s="358" t="s">
        <v>598</v>
      </c>
    </row>
    <row r="13" spans="2:10" x14ac:dyDescent="0.3"/>
    <row r="14" spans="2:10" x14ac:dyDescent="0.3"/>
    <row r="15" spans="2:10" x14ac:dyDescent="0.3"/>
    <row r="16" spans="2:10" x14ac:dyDescent="0.3">
      <c r="B16" t="s">
        <v>639</v>
      </c>
      <c r="C16" t="s">
        <v>640</v>
      </c>
      <c r="D16" t="s">
        <v>643</v>
      </c>
      <c r="E16" t="s">
        <v>652</v>
      </c>
      <c r="F16" t="s">
        <v>684</v>
      </c>
    </row>
    <row r="17" spans="2:20" x14ac:dyDescent="0.3">
      <c r="B17" t="s">
        <v>626</v>
      </c>
      <c r="C17" t="s">
        <v>632</v>
      </c>
      <c r="D17" t="s">
        <v>642</v>
      </c>
      <c r="E17" t="s">
        <v>653</v>
      </c>
      <c r="F17" t="s">
        <v>685</v>
      </c>
    </row>
    <row r="18" spans="2:20" x14ac:dyDescent="0.3">
      <c r="B18" t="s">
        <v>625</v>
      </c>
      <c r="C18" t="s">
        <v>633</v>
      </c>
      <c r="D18" t="s">
        <v>644</v>
      </c>
      <c r="E18" t="s">
        <v>654</v>
      </c>
      <c r="F18" t="s">
        <v>686</v>
      </c>
    </row>
    <row r="19" spans="2:20" x14ac:dyDescent="0.3">
      <c r="B19" t="s">
        <v>627</v>
      </c>
      <c r="C19" t="s">
        <v>634</v>
      </c>
      <c r="F19" t="s">
        <v>687</v>
      </c>
    </row>
    <row r="20" spans="2:20" x14ac:dyDescent="0.3">
      <c r="B20" t="s">
        <v>628</v>
      </c>
      <c r="F20" t="s">
        <v>688</v>
      </c>
    </row>
    <row r="21" spans="2:20" x14ac:dyDescent="0.3">
      <c r="B21" t="s">
        <v>637</v>
      </c>
      <c r="F21" t="s">
        <v>689</v>
      </c>
    </row>
    <row r="22" spans="2:20" x14ac:dyDescent="0.3">
      <c r="B22" t="s">
        <v>636</v>
      </c>
    </row>
    <row r="23" spans="2:20" x14ac:dyDescent="0.3">
      <c r="B23" t="s">
        <v>630</v>
      </c>
    </row>
    <row r="24" spans="2:20" x14ac:dyDescent="0.3">
      <c r="B24" t="s">
        <v>631</v>
      </c>
    </row>
    <row r="25" spans="2:20" x14ac:dyDescent="0.3">
      <c r="B25" t="s">
        <v>635</v>
      </c>
    </row>
    <row r="26" spans="2:20" x14ac:dyDescent="0.3"/>
    <row r="27" spans="2:20" x14ac:dyDescent="0.3"/>
    <row r="28" spans="2:20" hidden="1" x14ac:dyDescent="0.3">
      <c r="B28" s="180" t="s">
        <v>368</v>
      </c>
    </row>
    <row r="29" spans="2:20" x14ac:dyDescent="0.3"/>
    <row r="30" spans="2:20" hidden="1" x14ac:dyDescent="0.3">
      <c r="B30" s="359" t="s">
        <v>624</v>
      </c>
      <c r="C30" s="359" t="s">
        <v>629</v>
      </c>
      <c r="D30" s="359" t="s">
        <v>369</v>
      </c>
      <c r="E30" s="359" t="s">
        <v>623</v>
      </c>
      <c r="F30" s="359" t="s">
        <v>370</v>
      </c>
      <c r="G30" s="359" t="s">
        <v>371</v>
      </c>
      <c r="H30" s="359" t="s">
        <v>372</v>
      </c>
      <c r="I30" s="359" t="s">
        <v>373</v>
      </c>
      <c r="J30" s="359" t="s">
        <v>374</v>
      </c>
      <c r="K30" s="359" t="s">
        <v>375</v>
      </c>
      <c r="L30" s="359" t="s">
        <v>376</v>
      </c>
      <c r="M30" s="359" t="s">
        <v>377</v>
      </c>
      <c r="N30" s="359" t="s">
        <v>378</v>
      </c>
      <c r="O30" s="359" t="s">
        <v>437</v>
      </c>
      <c r="P30" s="359" t="s">
        <v>379</v>
      </c>
      <c r="Q30" s="359" t="s">
        <v>380</v>
      </c>
      <c r="R30" s="359" t="s">
        <v>381</v>
      </c>
      <c r="S30" s="359" t="s">
        <v>382</v>
      </c>
      <c r="T30" s="359" t="s">
        <v>383</v>
      </c>
    </row>
    <row r="31" spans="2:20" hidden="1" x14ac:dyDescent="0.3">
      <c r="B31" s="360" t="s">
        <v>626</v>
      </c>
      <c r="C31" s="360" t="s">
        <v>632</v>
      </c>
      <c r="D31" s="360" t="s">
        <v>6</v>
      </c>
      <c r="E31" s="360" t="s">
        <v>37</v>
      </c>
      <c r="F31" s="360" t="s">
        <v>57</v>
      </c>
      <c r="G31" s="360" t="s">
        <v>104</v>
      </c>
      <c r="H31" s="360" t="s">
        <v>136</v>
      </c>
      <c r="I31" s="360" t="s">
        <v>141</v>
      </c>
      <c r="J31" s="360" t="s">
        <v>147</v>
      </c>
      <c r="K31" s="360" t="s">
        <v>152</v>
      </c>
      <c r="L31" s="360" t="s">
        <v>618</v>
      </c>
      <c r="M31" s="360" t="s">
        <v>166</v>
      </c>
      <c r="N31" s="360" t="s">
        <v>194</v>
      </c>
      <c r="O31" t="s">
        <v>388</v>
      </c>
      <c r="P31" s="360" t="s">
        <v>327</v>
      </c>
      <c r="Q31" s="360" t="s">
        <v>331</v>
      </c>
      <c r="R31" s="360" t="s">
        <v>333</v>
      </c>
      <c r="S31" s="360" t="s">
        <v>359</v>
      </c>
      <c r="T31" s="360"/>
    </row>
    <row r="32" spans="2:20" hidden="1" x14ac:dyDescent="0.3">
      <c r="B32" s="360" t="s">
        <v>625</v>
      </c>
      <c r="C32" s="360" t="s">
        <v>633</v>
      </c>
      <c r="D32" s="360" t="s">
        <v>7</v>
      </c>
      <c r="E32" s="360" t="s">
        <v>38</v>
      </c>
      <c r="F32" s="360" t="s">
        <v>58</v>
      </c>
      <c r="G32" s="360" t="s">
        <v>105</v>
      </c>
      <c r="H32" s="360" t="s">
        <v>137</v>
      </c>
      <c r="I32" s="360" t="s">
        <v>142</v>
      </c>
      <c r="J32" s="360" t="s">
        <v>148</v>
      </c>
      <c r="K32" s="360" t="s">
        <v>153</v>
      </c>
      <c r="L32" s="360" t="s">
        <v>156</v>
      </c>
      <c r="M32" s="360" t="s">
        <v>167</v>
      </c>
      <c r="N32" s="360" t="s">
        <v>195</v>
      </c>
      <c r="O32" t="s">
        <v>386</v>
      </c>
      <c r="P32" s="360" t="s">
        <v>328</v>
      </c>
      <c r="Q32" s="360" t="s">
        <v>332</v>
      </c>
      <c r="R32" s="360" t="s">
        <v>334</v>
      </c>
      <c r="S32" s="360" t="s">
        <v>360</v>
      </c>
      <c r="T32" s="360"/>
    </row>
    <row r="33" spans="2:20" hidden="1" x14ac:dyDescent="0.3">
      <c r="B33" s="360" t="s">
        <v>627</v>
      </c>
      <c r="C33" s="360" t="s">
        <v>634</v>
      </c>
      <c r="D33" s="360" t="s">
        <v>8</v>
      </c>
      <c r="E33" s="360" t="s">
        <v>39</v>
      </c>
      <c r="F33" s="360" t="s">
        <v>59</v>
      </c>
      <c r="G33" s="360" t="s">
        <v>106</v>
      </c>
      <c r="H33" s="360" t="s">
        <v>138</v>
      </c>
      <c r="I33" s="360" t="s">
        <v>143</v>
      </c>
      <c r="J33" s="360" t="s">
        <v>149</v>
      </c>
      <c r="K33" s="360" t="s">
        <v>154</v>
      </c>
      <c r="L33" s="360" t="s">
        <v>157</v>
      </c>
      <c r="M33" s="360" t="s">
        <v>168</v>
      </c>
      <c r="N33" s="360" t="s">
        <v>196</v>
      </c>
      <c r="O33" s="360" t="s">
        <v>438</v>
      </c>
      <c r="P33" s="360" t="s">
        <v>329</v>
      </c>
      <c r="R33" s="360" t="s">
        <v>335</v>
      </c>
      <c r="S33" s="360" t="s">
        <v>361</v>
      </c>
      <c r="T33" s="360"/>
    </row>
    <row r="34" spans="2:20" hidden="1" x14ac:dyDescent="0.3">
      <c r="B34" s="360" t="s">
        <v>628</v>
      </c>
      <c r="C34" s="360"/>
      <c r="D34" s="360" t="s">
        <v>9</v>
      </c>
      <c r="E34" s="360" t="s">
        <v>40</v>
      </c>
      <c r="F34" s="360" t="s">
        <v>60</v>
      </c>
      <c r="G34" s="360" t="s">
        <v>107</v>
      </c>
      <c r="H34" s="360" t="s">
        <v>139</v>
      </c>
      <c r="I34" s="360" t="s">
        <v>144</v>
      </c>
      <c r="J34" s="360" t="s">
        <v>150</v>
      </c>
      <c r="K34" s="360" t="s">
        <v>155</v>
      </c>
      <c r="L34" s="360" t="s">
        <v>158</v>
      </c>
      <c r="M34" s="360" t="s">
        <v>169</v>
      </c>
      <c r="N34" s="360" t="s">
        <v>197</v>
      </c>
      <c r="O34" s="360" t="s">
        <v>208</v>
      </c>
      <c r="P34" s="360" t="s">
        <v>330</v>
      </c>
      <c r="R34" s="360" t="s">
        <v>336</v>
      </c>
      <c r="S34" s="360" t="s">
        <v>362</v>
      </c>
      <c r="T34" s="360"/>
    </row>
    <row r="35" spans="2:20" hidden="1" x14ac:dyDescent="0.3">
      <c r="B35" s="360" t="s">
        <v>637</v>
      </c>
      <c r="C35" s="360"/>
      <c r="D35" s="360" t="s">
        <v>10</v>
      </c>
      <c r="E35" s="360" t="s">
        <v>41</v>
      </c>
      <c r="F35" s="360" t="s">
        <v>61</v>
      </c>
      <c r="G35" s="360" t="s">
        <v>108</v>
      </c>
      <c r="H35" s="360" t="s">
        <v>140</v>
      </c>
      <c r="I35" s="360" t="s">
        <v>145</v>
      </c>
      <c r="J35" s="360" t="s">
        <v>151</v>
      </c>
      <c r="L35" s="360" t="s">
        <v>159</v>
      </c>
      <c r="M35" s="360" t="s">
        <v>170</v>
      </c>
      <c r="N35" s="360" t="s">
        <v>198</v>
      </c>
      <c r="O35" s="360" t="s">
        <v>209</v>
      </c>
      <c r="R35" s="360" t="s">
        <v>337</v>
      </c>
      <c r="S35" s="360" t="s">
        <v>363</v>
      </c>
      <c r="T35" s="360"/>
    </row>
    <row r="36" spans="2:20" hidden="1" x14ac:dyDescent="0.3">
      <c r="B36" s="360" t="s">
        <v>636</v>
      </c>
      <c r="C36" s="360"/>
      <c r="D36" s="360" t="s">
        <v>11</v>
      </c>
      <c r="E36" s="360" t="s">
        <v>42</v>
      </c>
      <c r="F36" s="360" t="s">
        <v>62</v>
      </c>
      <c r="G36" s="360" t="s">
        <v>109</v>
      </c>
      <c r="I36" s="360" t="s">
        <v>146</v>
      </c>
      <c r="L36" s="360" t="s">
        <v>160</v>
      </c>
      <c r="M36" s="360" t="s">
        <v>171</v>
      </c>
      <c r="N36" s="360" t="s">
        <v>199</v>
      </c>
      <c r="O36" s="360" t="s">
        <v>210</v>
      </c>
      <c r="R36" s="360" t="s">
        <v>338</v>
      </c>
      <c r="S36" s="360" t="s">
        <v>364</v>
      </c>
      <c r="T36" s="360"/>
    </row>
    <row r="37" spans="2:20" hidden="1" x14ac:dyDescent="0.3">
      <c r="B37" t="s">
        <v>630</v>
      </c>
      <c r="C37" s="360"/>
      <c r="D37" s="360" t="s">
        <v>12</v>
      </c>
      <c r="E37" s="360" t="s">
        <v>43</v>
      </c>
      <c r="F37" s="360" t="s">
        <v>63</v>
      </c>
      <c r="G37" s="360" t="s">
        <v>110</v>
      </c>
      <c r="L37" s="360" t="s">
        <v>161</v>
      </c>
      <c r="M37" s="360" t="s">
        <v>172</v>
      </c>
      <c r="N37" s="360" t="s">
        <v>200</v>
      </c>
      <c r="O37" s="360" t="s">
        <v>211</v>
      </c>
      <c r="R37" s="360" t="s">
        <v>339</v>
      </c>
      <c r="S37" s="361" t="s">
        <v>365</v>
      </c>
      <c r="T37" s="360"/>
    </row>
    <row r="38" spans="2:20" hidden="1" x14ac:dyDescent="0.3">
      <c r="B38" t="s">
        <v>631</v>
      </c>
      <c r="C38" s="360"/>
      <c r="D38" s="360" t="s">
        <v>13</v>
      </c>
      <c r="E38" s="360" t="s">
        <v>44</v>
      </c>
      <c r="F38" s="360" t="s">
        <v>64</v>
      </c>
      <c r="G38" s="360" t="s">
        <v>111</v>
      </c>
      <c r="L38" s="360" t="s">
        <v>162</v>
      </c>
      <c r="M38" s="360" t="s">
        <v>173</v>
      </c>
      <c r="N38" s="360" t="s">
        <v>201</v>
      </c>
      <c r="O38" s="360" t="s">
        <v>212</v>
      </c>
      <c r="R38" s="360" t="s">
        <v>340</v>
      </c>
      <c r="S38" s="360" t="s">
        <v>366</v>
      </c>
      <c r="T38" s="360"/>
    </row>
    <row r="39" spans="2:20" hidden="1" x14ac:dyDescent="0.3">
      <c r="B39" t="s">
        <v>635</v>
      </c>
      <c r="C39" s="360"/>
      <c r="D39" s="360" t="s">
        <v>14</v>
      </c>
      <c r="E39" s="360" t="s">
        <v>45</v>
      </c>
      <c r="F39" s="360" t="s">
        <v>65</v>
      </c>
      <c r="G39" s="360" t="s">
        <v>112</v>
      </c>
      <c r="L39" s="360" t="s">
        <v>163</v>
      </c>
      <c r="M39" s="360" t="s">
        <v>174</v>
      </c>
      <c r="N39" s="360" t="s">
        <v>202</v>
      </c>
      <c r="O39" s="360" t="s">
        <v>213</v>
      </c>
      <c r="R39" s="360" t="s">
        <v>341</v>
      </c>
      <c r="S39" s="360" t="s">
        <v>367</v>
      </c>
      <c r="T39" s="360"/>
    </row>
    <row r="40" spans="2:20" hidden="1" x14ac:dyDescent="0.3">
      <c r="C40" s="360"/>
      <c r="D40" s="360" t="s">
        <v>15</v>
      </c>
      <c r="E40" s="360" t="s">
        <v>46</v>
      </c>
      <c r="F40" s="360" t="s">
        <v>66</v>
      </c>
      <c r="G40" s="360" t="s">
        <v>113</v>
      </c>
      <c r="L40" s="360" t="s">
        <v>164</v>
      </c>
      <c r="M40" s="360" t="s">
        <v>175</v>
      </c>
      <c r="N40" s="360" t="s">
        <v>203</v>
      </c>
      <c r="O40" s="360" t="s">
        <v>214</v>
      </c>
      <c r="R40" s="360" t="s">
        <v>342</v>
      </c>
      <c r="T40" s="360"/>
    </row>
    <row r="41" spans="2:20" hidden="1" x14ac:dyDescent="0.3">
      <c r="C41" s="360"/>
      <c r="D41" s="360" t="s">
        <v>16</v>
      </c>
      <c r="E41" s="360" t="s">
        <v>47</v>
      </c>
      <c r="F41" s="360" t="s">
        <v>67</v>
      </c>
      <c r="G41" s="360" t="s">
        <v>114</v>
      </c>
      <c r="L41" s="360" t="s">
        <v>165</v>
      </c>
      <c r="M41" s="360" t="s">
        <v>176</v>
      </c>
      <c r="N41" s="360" t="s">
        <v>204</v>
      </c>
      <c r="O41" s="360" t="s">
        <v>215</v>
      </c>
      <c r="R41" s="360" t="s">
        <v>343</v>
      </c>
      <c r="T41" s="360"/>
    </row>
    <row r="42" spans="2:20" hidden="1" x14ac:dyDescent="0.3">
      <c r="C42" s="360"/>
      <c r="D42" s="360" t="s">
        <v>17</v>
      </c>
      <c r="E42" s="360" t="s">
        <v>48</v>
      </c>
      <c r="F42" s="360" t="s">
        <v>68</v>
      </c>
      <c r="G42" s="360" t="s">
        <v>115</v>
      </c>
      <c r="M42" s="360" t="s">
        <v>177</v>
      </c>
      <c r="N42" s="360" t="s">
        <v>205</v>
      </c>
      <c r="O42" s="360" t="s">
        <v>216</v>
      </c>
      <c r="R42" s="360" t="s">
        <v>344</v>
      </c>
      <c r="T42" s="360"/>
    </row>
    <row r="43" spans="2:20" hidden="1" x14ac:dyDescent="0.3">
      <c r="C43" s="360"/>
      <c r="D43" s="360" t="s">
        <v>18</v>
      </c>
      <c r="E43" s="360" t="s">
        <v>49</v>
      </c>
      <c r="F43" s="360" t="s">
        <v>69</v>
      </c>
      <c r="G43" s="360" t="s">
        <v>116</v>
      </c>
      <c r="M43" s="360" t="s">
        <v>178</v>
      </c>
      <c r="N43" s="360" t="s">
        <v>206</v>
      </c>
      <c r="O43" s="360" t="s">
        <v>217</v>
      </c>
      <c r="R43" s="360" t="s">
        <v>345</v>
      </c>
      <c r="T43" s="360"/>
    </row>
    <row r="44" spans="2:20" hidden="1" x14ac:dyDescent="0.3">
      <c r="C44" s="360"/>
      <c r="D44" s="360" t="s">
        <v>19</v>
      </c>
      <c r="E44" s="360" t="s">
        <v>50</v>
      </c>
      <c r="F44" s="360" t="s">
        <v>70</v>
      </c>
      <c r="G44" s="360" t="s">
        <v>117</v>
      </c>
      <c r="I44" s="360"/>
      <c r="M44" s="360" t="s">
        <v>179</v>
      </c>
      <c r="N44" s="360" t="s">
        <v>207</v>
      </c>
      <c r="O44" s="360" t="s">
        <v>218</v>
      </c>
      <c r="R44" s="360" t="s">
        <v>346</v>
      </c>
      <c r="T44" s="360"/>
    </row>
    <row r="45" spans="2:20" hidden="1" x14ac:dyDescent="0.3">
      <c r="C45" s="360"/>
      <c r="D45" s="360" t="s">
        <v>20</v>
      </c>
      <c r="E45" s="360" t="s">
        <v>51</v>
      </c>
      <c r="F45" s="360" t="s">
        <v>71</v>
      </c>
      <c r="G45" s="360" t="s">
        <v>118</v>
      </c>
      <c r="I45" s="360"/>
      <c r="M45" s="360" t="s">
        <v>180</v>
      </c>
      <c r="O45" s="360" t="s">
        <v>219</v>
      </c>
      <c r="R45" s="360" t="s">
        <v>347</v>
      </c>
      <c r="T45" s="360"/>
    </row>
    <row r="46" spans="2:20" hidden="1" x14ac:dyDescent="0.3">
      <c r="C46" s="360"/>
      <c r="D46" s="360" t="s">
        <v>21</v>
      </c>
      <c r="E46" s="360" t="s">
        <v>52</v>
      </c>
      <c r="F46" s="360" t="s">
        <v>72</v>
      </c>
      <c r="G46" s="360" t="s">
        <v>119</v>
      </c>
      <c r="I46" s="360"/>
      <c r="M46" s="360" t="s">
        <v>181</v>
      </c>
      <c r="O46" s="360" t="s">
        <v>220</v>
      </c>
      <c r="R46" s="360" t="s">
        <v>348</v>
      </c>
      <c r="T46" s="360"/>
    </row>
    <row r="47" spans="2:20" hidden="1" x14ac:dyDescent="0.3">
      <c r="C47" s="360"/>
      <c r="D47" s="360" t="s">
        <v>22</v>
      </c>
      <c r="E47" s="360" t="s">
        <v>54</v>
      </c>
      <c r="F47" s="360" t="s">
        <v>73</v>
      </c>
      <c r="G47" s="360" t="s">
        <v>120</v>
      </c>
      <c r="I47" s="360"/>
      <c r="M47" s="360" t="s">
        <v>182</v>
      </c>
      <c r="O47" s="360" t="s">
        <v>221</v>
      </c>
      <c r="R47" s="360" t="s">
        <v>349</v>
      </c>
      <c r="T47" s="360"/>
    </row>
    <row r="48" spans="2:20" hidden="1" x14ac:dyDescent="0.3">
      <c r="C48" s="360"/>
      <c r="D48" s="360" t="s">
        <v>23</v>
      </c>
      <c r="E48" s="360" t="s">
        <v>53</v>
      </c>
      <c r="F48" s="360" t="s">
        <v>74</v>
      </c>
      <c r="G48" s="360" t="s">
        <v>121</v>
      </c>
      <c r="I48" s="360"/>
      <c r="M48" s="360" t="s">
        <v>183</v>
      </c>
      <c r="O48" s="360" t="s">
        <v>222</v>
      </c>
      <c r="R48" s="360" t="s">
        <v>350</v>
      </c>
      <c r="T48" s="360"/>
    </row>
    <row r="49" spans="3:20" hidden="1" x14ac:dyDescent="0.3">
      <c r="C49" s="360"/>
      <c r="D49" s="360" t="s">
        <v>24</v>
      </c>
      <c r="E49" s="360" t="s">
        <v>55</v>
      </c>
      <c r="F49" s="360" t="s">
        <v>75</v>
      </c>
      <c r="G49" s="360" t="s">
        <v>122</v>
      </c>
      <c r="I49" s="360"/>
      <c r="M49" s="360" t="s">
        <v>184</v>
      </c>
      <c r="O49" s="360" t="s">
        <v>223</v>
      </c>
      <c r="R49" s="360" t="s">
        <v>351</v>
      </c>
      <c r="T49" s="360"/>
    </row>
    <row r="50" spans="3:20" hidden="1" x14ac:dyDescent="0.3">
      <c r="C50" s="360"/>
      <c r="D50" s="360" t="s">
        <v>25</v>
      </c>
      <c r="E50" s="360" t="s">
        <v>56</v>
      </c>
      <c r="F50" s="360" t="s">
        <v>76</v>
      </c>
      <c r="G50" s="360" t="s">
        <v>123</v>
      </c>
      <c r="I50" s="360"/>
      <c r="M50" s="360" t="s">
        <v>185</v>
      </c>
      <c r="O50" s="360" t="s">
        <v>224</v>
      </c>
      <c r="R50" s="360" t="s">
        <v>352</v>
      </c>
      <c r="T50" s="360"/>
    </row>
    <row r="51" spans="3:20" hidden="1" x14ac:dyDescent="0.3">
      <c r="C51" s="360"/>
      <c r="D51" s="360" t="s">
        <v>26</v>
      </c>
      <c r="F51" s="360" t="s">
        <v>77</v>
      </c>
      <c r="G51" s="360" t="s">
        <v>124</v>
      </c>
      <c r="I51" s="360"/>
      <c r="M51" s="360" t="s">
        <v>186</v>
      </c>
      <c r="O51" s="360" t="s">
        <v>225</v>
      </c>
      <c r="R51" s="360" t="s">
        <v>353</v>
      </c>
      <c r="T51" s="360"/>
    </row>
    <row r="52" spans="3:20" hidden="1" x14ac:dyDescent="0.3">
      <c r="C52" s="360"/>
      <c r="D52" s="360" t="s">
        <v>27</v>
      </c>
      <c r="F52" s="360" t="s">
        <v>78</v>
      </c>
      <c r="G52" s="360" t="s">
        <v>125</v>
      </c>
      <c r="I52" s="360"/>
      <c r="M52" s="360" t="s">
        <v>187</v>
      </c>
      <c r="O52" s="360" t="s">
        <v>226</v>
      </c>
      <c r="R52" s="360" t="s">
        <v>354</v>
      </c>
      <c r="T52" s="360"/>
    </row>
    <row r="53" spans="3:20" hidden="1" x14ac:dyDescent="0.3">
      <c r="C53" s="360"/>
      <c r="D53" s="360" t="s">
        <v>28</v>
      </c>
      <c r="F53" s="360" t="s">
        <v>79</v>
      </c>
      <c r="G53" s="360" t="s">
        <v>126</v>
      </c>
      <c r="I53" s="360"/>
      <c r="M53" s="360" t="s">
        <v>188</v>
      </c>
      <c r="O53" s="360" t="s">
        <v>227</v>
      </c>
      <c r="R53" s="360" t="s">
        <v>355</v>
      </c>
      <c r="T53" s="360"/>
    </row>
    <row r="54" spans="3:20" hidden="1" x14ac:dyDescent="0.3">
      <c r="C54" s="360"/>
      <c r="D54" s="360" t="s">
        <v>29</v>
      </c>
      <c r="F54" s="360" t="s">
        <v>80</v>
      </c>
      <c r="G54" s="360" t="s">
        <v>127</v>
      </c>
      <c r="I54" s="360"/>
      <c r="M54" s="360" t="s">
        <v>189</v>
      </c>
      <c r="O54" s="360" t="s">
        <v>228</v>
      </c>
      <c r="R54" s="360" t="s">
        <v>356</v>
      </c>
    </row>
    <row r="55" spans="3:20" hidden="1" x14ac:dyDescent="0.3">
      <c r="C55" s="360"/>
      <c r="D55" s="360" t="s">
        <v>30</v>
      </c>
      <c r="F55" s="360" t="s">
        <v>81</v>
      </c>
      <c r="G55" s="360" t="s">
        <v>128</v>
      </c>
      <c r="I55" s="360"/>
      <c r="M55" s="360" t="s">
        <v>190</v>
      </c>
      <c r="O55" s="360" t="s">
        <v>229</v>
      </c>
      <c r="R55" s="360" t="s">
        <v>357</v>
      </c>
    </row>
    <row r="56" spans="3:20" hidden="1" x14ac:dyDescent="0.3">
      <c r="C56" s="360"/>
      <c r="D56" s="360" t="s">
        <v>31</v>
      </c>
      <c r="F56" s="360" t="s">
        <v>82</v>
      </c>
      <c r="G56" s="360" t="s">
        <v>129</v>
      </c>
      <c r="I56" s="360"/>
      <c r="M56" s="360" t="s">
        <v>191</v>
      </c>
      <c r="O56" s="360" t="s">
        <v>230</v>
      </c>
      <c r="R56" s="360" t="s">
        <v>358</v>
      </c>
    </row>
    <row r="57" spans="3:20" hidden="1" x14ac:dyDescent="0.3">
      <c r="C57" s="360"/>
      <c r="D57" s="360" t="s">
        <v>32</v>
      </c>
      <c r="F57" s="360" t="s">
        <v>83</v>
      </c>
      <c r="G57" s="360" t="s">
        <v>130</v>
      </c>
      <c r="I57" s="360"/>
      <c r="M57" s="360" t="s">
        <v>192</v>
      </c>
      <c r="O57" s="360" t="s">
        <v>231</v>
      </c>
    </row>
    <row r="58" spans="3:20" hidden="1" x14ac:dyDescent="0.3">
      <c r="C58" s="360"/>
      <c r="D58" s="360" t="s">
        <v>33</v>
      </c>
      <c r="F58" s="360" t="s">
        <v>84</v>
      </c>
      <c r="G58" s="360" t="s">
        <v>131</v>
      </c>
      <c r="I58" s="360"/>
      <c r="M58" s="360" t="s">
        <v>193</v>
      </c>
      <c r="O58" s="360" t="s">
        <v>232</v>
      </c>
    </row>
    <row r="59" spans="3:20" hidden="1" x14ac:dyDescent="0.3">
      <c r="C59" s="360"/>
      <c r="D59" s="360" t="s">
        <v>34</v>
      </c>
      <c r="F59" s="360" t="s">
        <v>85</v>
      </c>
      <c r="G59" s="360" t="s">
        <v>132</v>
      </c>
      <c r="I59" s="360"/>
      <c r="O59" s="360" t="s">
        <v>233</v>
      </c>
    </row>
    <row r="60" spans="3:20" hidden="1" x14ac:dyDescent="0.3">
      <c r="C60" s="360"/>
      <c r="D60" s="360" t="s">
        <v>35</v>
      </c>
      <c r="F60" s="360" t="s">
        <v>86</v>
      </c>
      <c r="G60" s="360" t="s">
        <v>133</v>
      </c>
      <c r="I60" s="360"/>
      <c r="O60" s="360" t="s">
        <v>234</v>
      </c>
    </row>
    <row r="61" spans="3:20" hidden="1" x14ac:dyDescent="0.3">
      <c r="C61" s="360"/>
      <c r="D61" s="360" t="s">
        <v>36</v>
      </c>
      <c r="F61" s="360" t="s">
        <v>87</v>
      </c>
      <c r="G61" s="360" t="s">
        <v>134</v>
      </c>
      <c r="I61" s="360"/>
      <c r="O61" s="360" t="s">
        <v>235</v>
      </c>
    </row>
    <row r="62" spans="3:20" hidden="1" x14ac:dyDescent="0.3">
      <c r="C62" s="360"/>
      <c r="D62" s="360"/>
      <c r="F62" s="360" t="s">
        <v>88</v>
      </c>
      <c r="G62" s="360" t="s">
        <v>135</v>
      </c>
      <c r="I62" s="360"/>
      <c r="O62" s="360" t="s">
        <v>236</v>
      </c>
    </row>
    <row r="63" spans="3:20" hidden="1" x14ac:dyDescent="0.3">
      <c r="C63" s="360"/>
      <c r="F63" s="360" t="s">
        <v>89</v>
      </c>
      <c r="I63" s="360"/>
      <c r="O63" s="360" t="s">
        <v>237</v>
      </c>
    </row>
    <row r="64" spans="3:20" hidden="1" x14ac:dyDescent="0.3">
      <c r="C64" s="360"/>
      <c r="F64" s="360" t="s">
        <v>90</v>
      </c>
      <c r="G64" s="360"/>
      <c r="I64" s="360"/>
      <c r="O64" s="360" t="s">
        <v>238</v>
      </c>
    </row>
    <row r="65" spans="3:15" hidden="1" x14ac:dyDescent="0.3">
      <c r="C65" s="360"/>
      <c r="F65" s="360" t="s">
        <v>91</v>
      </c>
      <c r="I65" s="360"/>
      <c r="O65" s="360" t="s">
        <v>239</v>
      </c>
    </row>
    <row r="66" spans="3:15" hidden="1" x14ac:dyDescent="0.3">
      <c r="C66" s="360"/>
      <c r="F66" s="360" t="s">
        <v>92</v>
      </c>
      <c r="I66" s="360"/>
      <c r="O66" s="360" t="s">
        <v>240</v>
      </c>
    </row>
    <row r="67" spans="3:15" hidden="1" x14ac:dyDescent="0.3">
      <c r="C67" s="360"/>
      <c r="F67" s="360" t="s">
        <v>93</v>
      </c>
      <c r="O67" s="360" t="s">
        <v>241</v>
      </c>
    </row>
    <row r="68" spans="3:15" hidden="1" x14ac:dyDescent="0.3">
      <c r="C68" s="360"/>
      <c r="F68" s="360" t="s">
        <v>94</v>
      </c>
      <c r="O68" s="360" t="s">
        <v>242</v>
      </c>
    </row>
    <row r="69" spans="3:15" hidden="1" x14ac:dyDescent="0.3">
      <c r="C69" s="360"/>
      <c r="F69" s="360" t="s">
        <v>95</v>
      </c>
      <c r="I69" s="360"/>
      <c r="O69" s="360" t="s">
        <v>243</v>
      </c>
    </row>
    <row r="70" spans="3:15" hidden="1" x14ac:dyDescent="0.3">
      <c r="C70" s="360"/>
      <c r="F70" s="360" t="s">
        <v>96</v>
      </c>
      <c r="I70" s="360"/>
      <c r="O70" s="360" t="s">
        <v>244</v>
      </c>
    </row>
    <row r="71" spans="3:15" hidden="1" x14ac:dyDescent="0.3">
      <c r="C71" s="360"/>
      <c r="F71" s="360" t="s">
        <v>97</v>
      </c>
      <c r="I71" s="360"/>
      <c r="O71" s="360" t="s">
        <v>245</v>
      </c>
    </row>
    <row r="72" spans="3:15" hidden="1" x14ac:dyDescent="0.3">
      <c r="C72" s="360"/>
      <c r="F72" s="360" t="s">
        <v>98</v>
      </c>
      <c r="I72" s="360"/>
      <c r="O72" s="360" t="s">
        <v>246</v>
      </c>
    </row>
    <row r="73" spans="3:15" hidden="1" x14ac:dyDescent="0.3">
      <c r="C73" s="360"/>
      <c r="F73" s="360" t="s">
        <v>99</v>
      </c>
      <c r="I73" s="360"/>
      <c r="O73" s="360" t="s">
        <v>247</v>
      </c>
    </row>
    <row r="74" spans="3:15" hidden="1" x14ac:dyDescent="0.3">
      <c r="C74" s="360"/>
      <c r="F74" s="360" t="s">
        <v>100</v>
      </c>
      <c r="I74" s="360"/>
      <c r="O74" s="360" t="s">
        <v>248</v>
      </c>
    </row>
    <row r="75" spans="3:15" hidden="1" x14ac:dyDescent="0.3">
      <c r="C75" s="360"/>
      <c r="F75" s="360" t="s">
        <v>101</v>
      </c>
      <c r="I75" s="360"/>
      <c r="O75" s="360" t="s">
        <v>249</v>
      </c>
    </row>
    <row r="76" spans="3:15" hidden="1" x14ac:dyDescent="0.3">
      <c r="C76" s="360"/>
      <c r="F76" s="360" t="s">
        <v>102</v>
      </c>
      <c r="I76" s="360"/>
      <c r="O76" s="360" t="s">
        <v>250</v>
      </c>
    </row>
    <row r="77" spans="3:15" hidden="1" x14ac:dyDescent="0.3">
      <c r="C77" s="360"/>
      <c r="F77" s="360" t="s">
        <v>103</v>
      </c>
      <c r="I77" s="360"/>
      <c r="O77" s="360" t="s">
        <v>251</v>
      </c>
    </row>
    <row r="78" spans="3:15" hidden="1" x14ac:dyDescent="0.3">
      <c r="C78" s="360"/>
      <c r="I78" s="360"/>
      <c r="O78" s="360" t="s">
        <v>252</v>
      </c>
    </row>
    <row r="79" spans="3:15" hidden="1" x14ac:dyDescent="0.3">
      <c r="C79" s="360"/>
      <c r="I79" s="360"/>
      <c r="O79" s="360" t="s">
        <v>253</v>
      </c>
    </row>
    <row r="80" spans="3:15" hidden="1" x14ac:dyDescent="0.3">
      <c r="C80" s="360"/>
      <c r="I80" s="360"/>
      <c r="O80" s="360" t="s">
        <v>254</v>
      </c>
    </row>
    <row r="81" spans="3:15" hidden="1" x14ac:dyDescent="0.3">
      <c r="C81" s="360"/>
      <c r="I81" s="360"/>
      <c r="O81" s="360" t="s">
        <v>255</v>
      </c>
    </row>
    <row r="82" spans="3:15" hidden="1" x14ac:dyDescent="0.3">
      <c r="C82" s="360"/>
      <c r="I82" s="360"/>
      <c r="O82" s="360" t="s">
        <v>256</v>
      </c>
    </row>
    <row r="83" spans="3:15" hidden="1" x14ac:dyDescent="0.3">
      <c r="C83" s="360"/>
      <c r="I83" s="360"/>
      <c r="O83" s="360" t="s">
        <v>257</v>
      </c>
    </row>
    <row r="84" spans="3:15" hidden="1" x14ac:dyDescent="0.3">
      <c r="C84" s="360"/>
      <c r="I84" s="360"/>
      <c r="O84" s="360" t="s">
        <v>258</v>
      </c>
    </row>
    <row r="85" spans="3:15" hidden="1" x14ac:dyDescent="0.3">
      <c r="C85" s="360"/>
      <c r="I85" s="360"/>
      <c r="O85" s="360" t="s">
        <v>259</v>
      </c>
    </row>
    <row r="86" spans="3:15" hidden="1" x14ac:dyDescent="0.3">
      <c r="C86" s="360"/>
      <c r="I86" s="360"/>
      <c r="O86" s="360" t="s">
        <v>260</v>
      </c>
    </row>
    <row r="87" spans="3:15" hidden="1" x14ac:dyDescent="0.3">
      <c r="C87" s="360"/>
      <c r="I87" s="360"/>
      <c r="O87" s="360" t="s">
        <v>261</v>
      </c>
    </row>
    <row r="88" spans="3:15" hidden="1" x14ac:dyDescent="0.3">
      <c r="C88" s="360"/>
      <c r="I88" s="360"/>
      <c r="O88" s="360" t="s">
        <v>262</v>
      </c>
    </row>
    <row r="89" spans="3:15" hidden="1" x14ac:dyDescent="0.3">
      <c r="C89" s="360"/>
      <c r="I89" s="360"/>
      <c r="O89" s="360" t="s">
        <v>263</v>
      </c>
    </row>
    <row r="90" spans="3:15" hidden="1" x14ac:dyDescent="0.3">
      <c r="C90" s="360"/>
      <c r="O90" s="360" t="s">
        <v>264</v>
      </c>
    </row>
    <row r="91" spans="3:15" hidden="1" x14ac:dyDescent="0.3">
      <c r="C91" s="360"/>
      <c r="I91" s="362"/>
      <c r="O91" s="360" t="s">
        <v>265</v>
      </c>
    </row>
    <row r="92" spans="3:15" hidden="1" x14ac:dyDescent="0.3">
      <c r="I92" s="360"/>
      <c r="O92" s="360" t="s">
        <v>266</v>
      </c>
    </row>
    <row r="93" spans="3:15" hidden="1" x14ac:dyDescent="0.3">
      <c r="I93" s="360"/>
      <c r="O93" s="360" t="s">
        <v>267</v>
      </c>
    </row>
    <row r="94" spans="3:15" hidden="1" x14ac:dyDescent="0.3">
      <c r="I94" s="360"/>
      <c r="O94" s="360" t="s">
        <v>268</v>
      </c>
    </row>
    <row r="95" spans="3:15" hidden="1" x14ac:dyDescent="0.3">
      <c r="I95" s="360"/>
      <c r="O95" s="360" t="s">
        <v>269</v>
      </c>
    </row>
    <row r="96" spans="3:15" hidden="1" x14ac:dyDescent="0.3">
      <c r="I96" s="361"/>
      <c r="O96" s="360" t="s">
        <v>270</v>
      </c>
    </row>
    <row r="97" spans="9:15" hidden="1" x14ac:dyDescent="0.3">
      <c r="I97" s="360"/>
      <c r="O97" s="360" t="s">
        <v>271</v>
      </c>
    </row>
    <row r="98" spans="9:15" hidden="1" x14ac:dyDescent="0.3">
      <c r="I98" s="360"/>
      <c r="O98" s="360" t="s">
        <v>272</v>
      </c>
    </row>
    <row r="99" spans="9:15" hidden="1" x14ac:dyDescent="0.3">
      <c r="O99" s="360" t="s">
        <v>273</v>
      </c>
    </row>
    <row r="100" spans="9:15" hidden="1" x14ac:dyDescent="0.3">
      <c r="O100" s="360" t="s">
        <v>274</v>
      </c>
    </row>
    <row r="101" spans="9:15" hidden="1" x14ac:dyDescent="0.3">
      <c r="O101" s="360" t="s">
        <v>275</v>
      </c>
    </row>
    <row r="102" spans="9:15" hidden="1" x14ac:dyDescent="0.3">
      <c r="O102" s="360" t="s">
        <v>276</v>
      </c>
    </row>
    <row r="103" spans="9:15" hidden="1" x14ac:dyDescent="0.3">
      <c r="O103" s="360" t="s">
        <v>277</v>
      </c>
    </row>
    <row r="104" spans="9:15" hidden="1" x14ac:dyDescent="0.3">
      <c r="O104" s="360" t="s">
        <v>278</v>
      </c>
    </row>
    <row r="105" spans="9:15" hidden="1" x14ac:dyDescent="0.3">
      <c r="O105" s="360" t="s">
        <v>279</v>
      </c>
    </row>
    <row r="106" spans="9:15" hidden="1" x14ac:dyDescent="0.3">
      <c r="O106" s="360" t="s">
        <v>280</v>
      </c>
    </row>
    <row r="107" spans="9:15" hidden="1" x14ac:dyDescent="0.3">
      <c r="O107" s="360" t="s">
        <v>281</v>
      </c>
    </row>
    <row r="108" spans="9:15" hidden="1" x14ac:dyDescent="0.3">
      <c r="O108" s="360" t="s">
        <v>282</v>
      </c>
    </row>
    <row r="109" spans="9:15" hidden="1" x14ac:dyDescent="0.3">
      <c r="O109" s="360" t="s">
        <v>283</v>
      </c>
    </row>
    <row r="110" spans="9:15" hidden="1" x14ac:dyDescent="0.3">
      <c r="O110" s="360" t="s">
        <v>284</v>
      </c>
    </row>
    <row r="111" spans="9:15" hidden="1" x14ac:dyDescent="0.3">
      <c r="O111" s="360" t="s">
        <v>285</v>
      </c>
    </row>
    <row r="112" spans="9:15" hidden="1" x14ac:dyDescent="0.3">
      <c r="O112" s="360" t="s">
        <v>286</v>
      </c>
    </row>
    <row r="113" spans="15:15" hidden="1" x14ac:dyDescent="0.3">
      <c r="O113" s="360" t="s">
        <v>287</v>
      </c>
    </row>
    <row r="114" spans="15:15" hidden="1" x14ac:dyDescent="0.3">
      <c r="O114" s="360" t="s">
        <v>288</v>
      </c>
    </row>
    <row r="115" spans="15:15" hidden="1" x14ac:dyDescent="0.3">
      <c r="O115" s="360" t="s">
        <v>289</v>
      </c>
    </row>
    <row r="116" spans="15:15" hidden="1" x14ac:dyDescent="0.3">
      <c r="O116" s="360" t="s">
        <v>290</v>
      </c>
    </row>
    <row r="117" spans="15:15" hidden="1" x14ac:dyDescent="0.3">
      <c r="O117" s="360" t="s">
        <v>291</v>
      </c>
    </row>
    <row r="118" spans="15:15" hidden="1" x14ac:dyDescent="0.3">
      <c r="O118" s="360" t="s">
        <v>292</v>
      </c>
    </row>
    <row r="119" spans="15:15" hidden="1" x14ac:dyDescent="0.3">
      <c r="O119" s="360" t="s">
        <v>293</v>
      </c>
    </row>
    <row r="120" spans="15:15" hidden="1" x14ac:dyDescent="0.3">
      <c r="O120" s="360" t="s">
        <v>294</v>
      </c>
    </row>
    <row r="121" spans="15:15" hidden="1" x14ac:dyDescent="0.3">
      <c r="O121" s="360" t="s">
        <v>295</v>
      </c>
    </row>
    <row r="122" spans="15:15" hidden="1" x14ac:dyDescent="0.3">
      <c r="O122" s="360" t="s">
        <v>296</v>
      </c>
    </row>
    <row r="123" spans="15:15" hidden="1" x14ac:dyDescent="0.3">
      <c r="O123" s="360" t="s">
        <v>297</v>
      </c>
    </row>
    <row r="124" spans="15:15" hidden="1" x14ac:dyDescent="0.3">
      <c r="O124" s="360" t="s">
        <v>298</v>
      </c>
    </row>
    <row r="125" spans="15:15" hidden="1" x14ac:dyDescent="0.3">
      <c r="O125" s="360" t="s">
        <v>299</v>
      </c>
    </row>
    <row r="126" spans="15:15" hidden="1" x14ac:dyDescent="0.3">
      <c r="O126" s="360" t="s">
        <v>300</v>
      </c>
    </row>
    <row r="127" spans="15:15" hidden="1" x14ac:dyDescent="0.3">
      <c r="O127" s="360" t="s">
        <v>301</v>
      </c>
    </row>
    <row r="128" spans="15:15" hidden="1" x14ac:dyDescent="0.3">
      <c r="O128" s="360" t="s">
        <v>302</v>
      </c>
    </row>
    <row r="129" spans="15:15" hidden="1" x14ac:dyDescent="0.3">
      <c r="O129" s="360" t="s">
        <v>303</v>
      </c>
    </row>
    <row r="130" spans="15:15" hidden="1" x14ac:dyDescent="0.3">
      <c r="O130" s="360" t="s">
        <v>304</v>
      </c>
    </row>
    <row r="131" spans="15:15" hidden="1" x14ac:dyDescent="0.3">
      <c r="O131" s="360" t="s">
        <v>305</v>
      </c>
    </row>
    <row r="132" spans="15:15" hidden="1" x14ac:dyDescent="0.3">
      <c r="O132" s="360" t="s">
        <v>306</v>
      </c>
    </row>
    <row r="133" spans="15:15" hidden="1" x14ac:dyDescent="0.3">
      <c r="O133" s="360" t="s">
        <v>307</v>
      </c>
    </row>
    <row r="134" spans="15:15" hidden="1" x14ac:dyDescent="0.3">
      <c r="O134" s="360" t="s">
        <v>308</v>
      </c>
    </row>
    <row r="135" spans="15:15" hidden="1" x14ac:dyDescent="0.3">
      <c r="O135" s="360" t="s">
        <v>309</v>
      </c>
    </row>
    <row r="136" spans="15:15" hidden="1" x14ac:dyDescent="0.3">
      <c r="O136" s="360" t="s">
        <v>310</v>
      </c>
    </row>
    <row r="137" spans="15:15" hidden="1" x14ac:dyDescent="0.3">
      <c r="O137" s="360" t="s">
        <v>311</v>
      </c>
    </row>
    <row r="138" spans="15:15" hidden="1" x14ac:dyDescent="0.3">
      <c r="O138" s="360" t="s">
        <v>312</v>
      </c>
    </row>
    <row r="139" spans="15:15" hidden="1" x14ac:dyDescent="0.3">
      <c r="O139" s="360" t="s">
        <v>313</v>
      </c>
    </row>
    <row r="140" spans="15:15" hidden="1" x14ac:dyDescent="0.3">
      <c r="O140" s="360" t="s">
        <v>314</v>
      </c>
    </row>
    <row r="141" spans="15:15" hidden="1" x14ac:dyDescent="0.3">
      <c r="O141" s="360" t="s">
        <v>315</v>
      </c>
    </row>
    <row r="142" spans="15:15" hidden="1" x14ac:dyDescent="0.3">
      <c r="O142" s="360" t="s">
        <v>316</v>
      </c>
    </row>
    <row r="143" spans="15:15" hidden="1" x14ac:dyDescent="0.3">
      <c r="O143" s="360" t="s">
        <v>317</v>
      </c>
    </row>
    <row r="144" spans="15:15" hidden="1" x14ac:dyDescent="0.3">
      <c r="O144" s="360" t="s">
        <v>318</v>
      </c>
    </row>
    <row r="145" spans="2:15" hidden="1" x14ac:dyDescent="0.3">
      <c r="O145" s="360" t="s">
        <v>319</v>
      </c>
    </row>
    <row r="146" spans="2:15" hidden="1" x14ac:dyDescent="0.3">
      <c r="O146" s="360" t="s">
        <v>320</v>
      </c>
    </row>
    <row r="147" spans="2:15" hidden="1" x14ac:dyDescent="0.3">
      <c r="O147" s="360" t="s">
        <v>321</v>
      </c>
    </row>
    <row r="148" spans="2:15" hidden="1" x14ac:dyDescent="0.3">
      <c r="O148" s="360" t="s">
        <v>322</v>
      </c>
    </row>
    <row r="149" spans="2:15" hidden="1" x14ac:dyDescent="0.3">
      <c r="O149" s="360" t="s">
        <v>323</v>
      </c>
    </row>
    <row r="150" spans="2:15" hidden="1" x14ac:dyDescent="0.3">
      <c r="O150" s="360" t="s">
        <v>324</v>
      </c>
    </row>
    <row r="151" spans="2:15" hidden="1" x14ac:dyDescent="0.3">
      <c r="O151" s="360" t="s">
        <v>325</v>
      </c>
    </row>
    <row r="152" spans="2:15" hidden="1" x14ac:dyDescent="0.3">
      <c r="O152" s="360" t="s">
        <v>326</v>
      </c>
    </row>
    <row r="153" spans="2:15" x14ac:dyDescent="0.3">
      <c r="B153" t="s">
        <v>390</v>
      </c>
    </row>
    <row r="154" spans="2:15" x14ac:dyDescent="0.3">
      <c r="B154" t="s">
        <v>385</v>
      </c>
    </row>
    <row r="155" spans="2:15" x14ac:dyDescent="0.3">
      <c r="B155" t="s">
        <v>384</v>
      </c>
    </row>
    <row r="156" spans="2:15" x14ac:dyDescent="0.3">
      <c r="B156" t="s">
        <v>622</v>
      </c>
    </row>
    <row r="157" spans="2:15" x14ac:dyDescent="0.3">
      <c r="B157" t="s">
        <v>387</v>
      </c>
    </row>
    <row r="158" spans="2:15" x14ac:dyDescent="0.3">
      <c r="B158" t="s">
        <v>149</v>
      </c>
    </row>
    <row r="159" spans="2:15" x14ac:dyDescent="0.3">
      <c r="B159" t="s">
        <v>389</v>
      </c>
    </row>
    <row r="160" spans="2:15" x14ac:dyDescent="0.3"/>
    <row r="161" customFormat="1" x14ac:dyDescent="0.3"/>
    <row r="162" customFormat="1" x14ac:dyDescent="0.3"/>
    <row r="163" customFormat="1" x14ac:dyDescent="0.3"/>
    <row r="164" customFormat="1" x14ac:dyDescent="0.3"/>
    <row r="165" customFormat="1" x14ac:dyDescent="0.3"/>
  </sheetData>
  <sheetProtection algorithmName="SHA-512" hashValue="wlozifgb6ieIhBwjt6Elm9DEyKIdx8yR8DRUG9Io9oRVJ82NQuoN9kZPU7sNRZaXrmunNXeyavKdsP6GcuvTXQ==" saltValue="UChmtGM75LXPhHoopve7oA==" spinCount="100000" sheet="1" objects="1" scenarios="1"/>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1 Summary</vt:lpstr>
      <vt:lpstr>2 TIPLA Summary</vt:lpstr>
      <vt:lpstr>3 Construction Scope</vt:lpstr>
      <vt:lpstr>4 Savings Analysis</vt:lpstr>
      <vt:lpstr>5 Local Law 97 Analysis</vt:lpstr>
      <vt:lpstr>Backup</vt:lpstr>
      <vt:lpstr>Building_Electric_Service_Upgrades</vt:lpstr>
      <vt:lpstr>Building_Enclosure</vt:lpstr>
      <vt:lpstr>Domestic_Hot_Water_Systems</vt:lpstr>
      <vt:lpstr>ee_categories</vt:lpstr>
      <vt:lpstr>Energy_Efficiency</vt:lpstr>
      <vt:lpstr>HVAC_Systems</vt:lpstr>
      <vt:lpstr>nc_categories</vt:lpstr>
      <vt:lpstr>NC_LIST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O'Donnell | NYCEEC</dc:creator>
  <cp:lastModifiedBy>Patrick ODonnell</cp:lastModifiedBy>
  <cp:lastPrinted>2020-10-28T21:25:11Z</cp:lastPrinted>
  <dcterms:created xsi:type="dcterms:W3CDTF">2020-04-03T13:51:56Z</dcterms:created>
  <dcterms:modified xsi:type="dcterms:W3CDTF">2024-09-18T20:37:40Z</dcterms:modified>
</cp:coreProperties>
</file>