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podonnell\NYCEEC Dropbox\- NYCEEC RESTRICTED PACE\Engineering\Tech Cert\"/>
    </mc:Choice>
  </mc:AlternateContent>
  <xr:revisionPtr revIDLastSave="0" documentId="8_{41E2B14B-C523-4BD7-947A-C66FFC784451}" xr6:coauthVersionLast="47" xr6:coauthVersionMax="47" xr10:uidLastSave="{00000000-0000-0000-0000-000000000000}"/>
  <workbookProtection lockStructure="1"/>
  <bookViews>
    <workbookView xWindow="-108" yWindow="-108" windowWidth="23256" windowHeight="12576" tabRatio="838" xr2:uid="{174EA283-4C00-4816-B945-AF7BF10E8EDB}"/>
  </bookViews>
  <sheets>
    <sheet name="1 Summary" sheetId="8" r:id="rId1"/>
    <sheet name="2 TIPLA Summary" sheetId="9" r:id="rId2"/>
    <sheet name="3 SIR" sheetId="3" r:id="rId3"/>
    <sheet name="4 Construction Scope" sheetId="5" r:id="rId4"/>
    <sheet name="5 Savings Analysis" sheetId="6" r:id="rId5"/>
    <sheet name="6 Local Law 97 Analysis" sheetId="7" r:id="rId6"/>
    <sheet name="Backup" sheetId="2" r:id="rId7"/>
    <sheet name="Prequal Measures" sheetId="10" r:id="rId8"/>
    <sheet name="Incr Cost Measures" sheetId="11" r:id="rId9"/>
    <sheet name="Social Cost Value Analysis" sheetId="12" r:id="rId10"/>
  </sheets>
  <externalReferences>
    <externalReference r:id="rId11"/>
  </externalReferences>
  <definedNames>
    <definedName name="ee_categories" localSheetId="9">[1]!DCAS_EE_list[#Headers]</definedName>
    <definedName name="ee_categories">DCAS_EE_list[#Headers]</definedName>
    <definedName name="ee_category" localSheetId="9">INDEX([1]!DCAS_EE_list[#Data],,'Social Cost Value Analysis'!ee_category_num)</definedName>
    <definedName name="ee_category">INDEX(DCAS_EE_list[],,ee_category_num)</definedName>
    <definedName name="ee_category_num" localSheetId="9">MATCH('[1]4 Construction Scope'!$I1,'Social Cost Value Analysis'!ee_categories,0)</definedName>
    <definedName name="ee_category_num">MATCH('4 Construction Scope'!$I1,ee_categories,0)</definedName>
    <definedName name="ee_incr_cat" localSheetId="9">INDEX('Social Cost Value Analysis'!ee_incr_measures,,'Social Cost Value Analysis'!ee_incr_cat_num)</definedName>
    <definedName name="ee_incr_cat">INDEX(ee_incr_measures,,ee_incr_cat_num)</definedName>
    <definedName name="ee_incr_cat_num" localSheetId="9">MATCH('[1]4 Construction Scope'!$G1,'Social Cost Value Analysis'!incr_cost_cats,0)</definedName>
    <definedName name="ee_incr_cat_num">MATCH('4 Construction Scope'!$G$17,incr_cost_cats,0)</definedName>
    <definedName name="ee_incr_measures" localSheetId="9">'[1]Incr Cost Measures'!$B$5:$B$14</definedName>
    <definedName name="ee_incr_measures">'Incr Cost Measures'!$B$5:$B$13</definedName>
    <definedName name="ee_incr_measures_list" localSheetId="9">INDEX('Social Cost Value Analysis'!ee_incr_measures,1,'Social Cost Value Analysis'!ee_incr_cat_num):INDEX('Social Cost Value Analysis'!ee_incr_measures,COUNTA('Social Cost Value Analysis'!ee_incr_cat),'Social Cost Value Analysis'!ee_incr_cat_num)</definedName>
    <definedName name="ee_incr_measures_list">INDEX(ee_incr_measures,1,ee_incr_cat_num):INDEX(ee_incr_measures,COUNTA(ee_incr_cat),ee_incr_cat_num)</definedName>
    <definedName name="ee_measures" localSheetId="9">INDEX([1]!DCAS_EE_list[#Data],1,'Social Cost Value Analysis'!ee_category_num):INDEX([1]!DCAS_EE_list[#Data],COUNTA('Social Cost Value Analysis'!ee_category),'Social Cost Value Analysis'!ee_category_num)</definedName>
    <definedName name="ee_measures">INDEX(DCAS_EE_list[],1,ee_category_num):INDEX(DCAS_EE_list[],COUNTA(ee_category),ee_category_num)</definedName>
    <definedName name="incr_cost_cats" localSheetId="9">'[1]Incr Cost Measures'!$B$4:$B$4</definedName>
    <definedName name="incr_cost_cats">'Incr Cost Measures'!$B$4</definedName>
    <definedName name="locations" localSheetId="9">INDEX([1]!Locations_list[#Data],,)</definedName>
    <definedName name="locations">INDEX(Locations_list[],,)</definedName>
    <definedName name="measure_types" localSheetId="9">INDEX([1]!Measure_list[#Data],,)</definedName>
    <definedName name="measure_types">INDEX(Measure_list[],,)</definedName>
    <definedName name="prequal_cat_num">MATCH('4 Construction Scope'!$E1,prequal_categories,0)</definedName>
    <definedName name="prequal_categories">'Prequal Measures'!$B$4:$D$4</definedName>
    <definedName name="prequal_category">INDEX(prequal_EE_list,,prequal_cat_num)</definedName>
    <definedName name="prequal_EE_list">'Prequal Measures'!$B$5:$D$11</definedName>
    <definedName name="prequal_measures">INDEX(prequal_EE_list,1,prequal_cat_num):INDEX(prequal_EE_list,COUNTA(prequal_category),prequal_cat_num)</definedName>
    <definedName name="re_systems" localSheetId="9">INDEX([1]!NYSERDA_RE_list[#Data],,)</definedName>
    <definedName name="re_systems">INDEX(NYSERDA_RE_list[],,)</definedName>
    <definedName name="units" localSheetId="9">INDEX([1]!Units_list[#Data],,)</definedName>
    <definedName name="units">INDEX(Units_list[],,)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6" i="12" l="1"/>
  <c r="Q46" i="12"/>
  <c r="R46" i="12"/>
  <c r="P47" i="12"/>
  <c r="Q47" i="12"/>
  <c r="R47" i="12"/>
  <c r="P48" i="12"/>
  <c r="Q48" i="12"/>
  <c r="R48" i="12"/>
  <c r="P49" i="12"/>
  <c r="Q49" i="12"/>
  <c r="R49" i="12"/>
  <c r="P50" i="12"/>
  <c r="Q50" i="12"/>
  <c r="R50" i="12"/>
  <c r="P51" i="12"/>
  <c r="Q51" i="12"/>
  <c r="R51" i="12"/>
  <c r="P52" i="12"/>
  <c r="Q52" i="12"/>
  <c r="R52" i="12"/>
  <c r="P53" i="12"/>
  <c r="Q53" i="12"/>
  <c r="R53" i="12"/>
  <c r="P54" i="12"/>
  <c r="Q54" i="12"/>
  <c r="R54" i="12"/>
  <c r="P55" i="12"/>
  <c r="Q55" i="12"/>
  <c r="R55" i="12"/>
  <c r="P56" i="12"/>
  <c r="Q56" i="12"/>
  <c r="R56" i="12"/>
  <c r="P57" i="12"/>
  <c r="Q57" i="12"/>
  <c r="R57" i="12"/>
  <c r="P58" i="12"/>
  <c r="Q58" i="12"/>
  <c r="R58" i="12"/>
  <c r="P59" i="12"/>
  <c r="Q59" i="12"/>
  <c r="R59" i="12"/>
  <c r="P60" i="12"/>
  <c r="Q60" i="12"/>
  <c r="R60" i="12"/>
  <c r="P61" i="12"/>
  <c r="Q61" i="12"/>
  <c r="R61" i="12"/>
  <c r="P62" i="12"/>
  <c r="Q62" i="12"/>
  <c r="R62" i="12"/>
  <c r="P63" i="12"/>
  <c r="Q63" i="12"/>
  <c r="R63" i="12"/>
  <c r="P64" i="12"/>
  <c r="Q64" i="12"/>
  <c r="R64" i="12"/>
  <c r="P65" i="12"/>
  <c r="E65" i="12" s="1"/>
  <c r="Q65" i="12"/>
  <c r="R65" i="12"/>
  <c r="P66" i="12"/>
  <c r="Q66" i="12"/>
  <c r="R66" i="12"/>
  <c r="P67" i="12"/>
  <c r="Q67" i="12"/>
  <c r="R67" i="12"/>
  <c r="P68" i="12"/>
  <c r="Q68" i="12"/>
  <c r="R68" i="12"/>
  <c r="P69" i="12"/>
  <c r="Q69" i="12"/>
  <c r="R69" i="12"/>
  <c r="P70" i="12"/>
  <c r="Q70" i="12"/>
  <c r="R70" i="12"/>
  <c r="P71" i="12"/>
  <c r="Q71" i="12"/>
  <c r="R71" i="12"/>
  <c r="Q45" i="12"/>
  <c r="R45" i="12"/>
  <c r="P45" i="12"/>
  <c r="Y67" i="5"/>
  <c r="Z18" i="5"/>
  <c r="Z19" i="5"/>
  <c r="Z21" i="5"/>
  <c r="Z22" i="5"/>
  <c r="Z23"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H71" i="12"/>
  <c r="F61" i="12"/>
  <c r="G65" i="12" l="1"/>
  <c r="E64" i="12"/>
  <c r="G62" i="12"/>
  <c r="G47" i="12"/>
  <c r="E52" i="12"/>
  <c r="H62" i="12"/>
  <c r="G50" i="12"/>
  <c r="H58" i="12"/>
  <c r="C47" i="12"/>
  <c r="H67" i="12"/>
  <c r="G70" i="12"/>
  <c r="E53" i="12"/>
  <c r="F63" i="12"/>
  <c r="F65" i="12"/>
  <c r="G48" i="12"/>
  <c r="G61" i="12"/>
  <c r="F71" i="12"/>
  <c r="F54" i="12"/>
  <c r="G66" i="12"/>
  <c r="H49" i="12"/>
  <c r="H57" i="12"/>
  <c r="H64" i="12"/>
  <c r="E71" i="12"/>
  <c r="F53" i="12"/>
  <c r="G54" i="12"/>
  <c r="H70" i="12"/>
  <c r="H46" i="12"/>
  <c r="D68" i="12"/>
  <c r="D53" i="12"/>
  <c r="G53" i="12"/>
  <c r="G64" i="12"/>
  <c r="E63" i="12"/>
  <c r="H50" i="12"/>
  <c r="H52" i="12"/>
  <c r="H61" i="12"/>
  <c r="F52" i="12"/>
  <c r="H59" i="12"/>
  <c r="D63" i="12"/>
  <c r="D70" i="12"/>
  <c r="H66" i="12"/>
  <c r="D50" i="12"/>
  <c r="G52" i="12"/>
  <c r="H53" i="12"/>
  <c r="H54" i="12"/>
  <c r="E62" i="12"/>
  <c r="D64" i="12"/>
  <c r="D66" i="12"/>
  <c r="G71" i="12"/>
  <c r="E49" i="12"/>
  <c r="D52" i="12"/>
  <c r="E57" i="12"/>
  <c r="E58" i="12"/>
  <c r="F70" i="12"/>
  <c r="H51" i="12"/>
  <c r="H55" i="12"/>
  <c r="F57" i="12"/>
  <c r="F58" i="12"/>
  <c r="E67" i="12"/>
  <c r="D58" i="12"/>
  <c r="H45" i="12"/>
  <c r="D54" i="12"/>
  <c r="G57" i="12"/>
  <c r="G58" i="12"/>
  <c r="F60" i="12"/>
  <c r="D62" i="12"/>
  <c r="F64" i="12"/>
  <c r="E66" i="12"/>
  <c r="F67" i="12"/>
  <c r="H69" i="12"/>
  <c r="D57" i="12"/>
  <c r="E50" i="12"/>
  <c r="E54" i="12"/>
  <c r="F62" i="12"/>
  <c r="F66" i="12"/>
  <c r="D71" i="12"/>
  <c r="F48" i="12"/>
  <c r="G56" i="12"/>
  <c r="D67" i="12"/>
  <c r="E70" i="12"/>
  <c r="D69" i="12"/>
  <c r="E69" i="12"/>
  <c r="F69" i="12"/>
  <c r="G69" i="12"/>
  <c r="F68" i="12"/>
  <c r="G68" i="12"/>
  <c r="E68" i="12"/>
  <c r="H68" i="12"/>
  <c r="G67" i="12"/>
  <c r="D65" i="12"/>
  <c r="H65" i="12"/>
  <c r="G63" i="12"/>
  <c r="H63" i="12"/>
  <c r="D61" i="12"/>
  <c r="E61" i="12"/>
  <c r="D60" i="12"/>
  <c r="E60" i="12"/>
  <c r="G60" i="12"/>
  <c r="H60" i="12"/>
  <c r="F59" i="12"/>
  <c r="G59" i="12"/>
  <c r="D59" i="12"/>
  <c r="E59" i="12"/>
  <c r="D56" i="12"/>
  <c r="E56" i="12"/>
  <c r="F56" i="12"/>
  <c r="H56" i="12"/>
  <c r="D55" i="12"/>
  <c r="E55" i="12"/>
  <c r="F55" i="12"/>
  <c r="G55" i="12"/>
  <c r="G51" i="12"/>
  <c r="C51" i="12"/>
  <c r="D51" i="12"/>
  <c r="E51" i="12"/>
  <c r="F51" i="12"/>
  <c r="F50" i="12"/>
  <c r="F49" i="12"/>
  <c r="H47" i="12"/>
  <c r="D45" i="12"/>
  <c r="C45" i="12"/>
  <c r="H48" i="12"/>
  <c r="G49" i="12"/>
  <c r="E45" i="12"/>
  <c r="F45" i="12"/>
  <c r="E46" i="12"/>
  <c r="D47" i="12"/>
  <c r="C48" i="12"/>
  <c r="C46" i="12"/>
  <c r="G45" i="12"/>
  <c r="F46" i="12"/>
  <c r="E47" i="12"/>
  <c r="D48" i="12"/>
  <c r="C49" i="12"/>
  <c r="D46" i="12"/>
  <c r="G46" i="12"/>
  <c r="F47" i="12"/>
  <c r="E48" i="12"/>
  <c r="D49" i="12"/>
  <c r="C50" i="12"/>
  <c r="E30" i="3" l="1"/>
  <c r="Q66" i="6"/>
  <c r="P20" i="6"/>
  <c r="Q20" i="6"/>
  <c r="P21" i="6"/>
  <c r="Q21" i="6"/>
  <c r="P22" i="6"/>
  <c r="Q22" i="6"/>
  <c r="P23" i="6"/>
  <c r="Q23" i="6"/>
  <c r="P24" i="6"/>
  <c r="Q24" i="6"/>
  <c r="P25" i="6"/>
  <c r="Q25" i="6"/>
  <c r="P26" i="6"/>
  <c r="Q26" i="6"/>
  <c r="P27" i="6"/>
  <c r="Q27" i="6"/>
  <c r="P28" i="6"/>
  <c r="Q28" i="6"/>
  <c r="P29" i="6"/>
  <c r="Q29" i="6"/>
  <c r="P30" i="6"/>
  <c r="Q30" i="6"/>
  <c r="P31" i="6"/>
  <c r="Q31" i="6"/>
  <c r="P32" i="6"/>
  <c r="Q32" i="6"/>
  <c r="P33" i="6"/>
  <c r="Q33" i="6"/>
  <c r="P34" i="6"/>
  <c r="Q34" i="6"/>
  <c r="P35" i="6"/>
  <c r="Q35" i="6"/>
  <c r="P36" i="6"/>
  <c r="Q36" i="6"/>
  <c r="P37" i="6"/>
  <c r="Q37" i="6"/>
  <c r="P38" i="6"/>
  <c r="Q38" i="6"/>
  <c r="P39" i="6"/>
  <c r="Q39" i="6"/>
  <c r="P40" i="6"/>
  <c r="Q40" i="6"/>
  <c r="P41" i="6"/>
  <c r="Q41" i="6"/>
  <c r="P42" i="6"/>
  <c r="Q42" i="6"/>
  <c r="P43" i="6"/>
  <c r="Q43" i="6"/>
  <c r="P44" i="6"/>
  <c r="Q44" i="6"/>
  <c r="P45" i="6"/>
  <c r="Q45" i="6"/>
  <c r="P46" i="6"/>
  <c r="Q46" i="6"/>
  <c r="P47" i="6"/>
  <c r="Q47" i="6"/>
  <c r="P48" i="6"/>
  <c r="Q48" i="6"/>
  <c r="P49" i="6"/>
  <c r="Q49" i="6"/>
  <c r="P50" i="6"/>
  <c r="Q50" i="6"/>
  <c r="P51" i="6"/>
  <c r="Q51" i="6"/>
  <c r="P52" i="6"/>
  <c r="Q52" i="6"/>
  <c r="P53" i="6"/>
  <c r="Q53" i="6"/>
  <c r="P54" i="6"/>
  <c r="Q54" i="6"/>
  <c r="P55" i="6"/>
  <c r="Q55" i="6"/>
  <c r="P56" i="6"/>
  <c r="Q56" i="6"/>
  <c r="P57" i="6"/>
  <c r="Q57" i="6"/>
  <c r="P58" i="6"/>
  <c r="Q58" i="6"/>
  <c r="P59" i="6"/>
  <c r="Q59" i="6"/>
  <c r="P60" i="6"/>
  <c r="Q60" i="6"/>
  <c r="P61" i="6"/>
  <c r="Q61" i="6"/>
  <c r="P62" i="6"/>
  <c r="Q62" i="6"/>
  <c r="P63" i="6"/>
  <c r="Q63" i="6"/>
  <c r="P64" i="6"/>
  <c r="Q64" i="6"/>
  <c r="P65" i="6"/>
  <c r="Q65" i="6"/>
  <c r="P66" i="6"/>
  <c r="P67" i="6"/>
  <c r="Q67" i="6"/>
  <c r="P68" i="6"/>
  <c r="Q68" i="6"/>
  <c r="U69" i="6"/>
  <c r="Q19" i="6"/>
  <c r="P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19" i="6"/>
  <c r="G7" i="6"/>
  <c r="I6" i="6"/>
  <c r="E36" i="8" l="1"/>
  <c r="O19" i="6"/>
  <c r="K6" i="6"/>
  <c r="L6" i="6" l="1"/>
  <c r="P69" i="6"/>
  <c r="D12" i="5" s="1"/>
  <c r="M6" i="6" l="1"/>
  <c r="N6" i="6"/>
  <c r="Q69" i="6"/>
  <c r="L7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12" i="7"/>
  <c r="S12" i="7"/>
  <c r="Q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12" i="7"/>
  <c r="Q72" i="7" l="1"/>
  <c r="O6" i="6"/>
  <c r="S72" i="7"/>
  <c r="O72" i="7"/>
  <c r="U72" i="7"/>
  <c r="T72" i="7" s="1"/>
  <c r="G12" i="7" s="1"/>
  <c r="M72" i="7" l="1"/>
  <c r="D12" i="7" s="1"/>
  <c r="V17" i="5"/>
  <c r="J69" i="6"/>
  <c r="T21" i="6"/>
  <c r="H21" i="6" s="1"/>
  <c r="T20" i="6"/>
  <c r="H20" i="6" s="1"/>
  <c r="T23" i="6"/>
  <c r="H23" i="6" s="1"/>
  <c r="T24" i="6"/>
  <c r="H24" i="6" s="1"/>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22" i="6"/>
  <c r="H22" i="6" s="1"/>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C17" i="12" l="1"/>
  <c r="C25" i="12"/>
  <c r="C33" i="12"/>
  <c r="C26" i="12"/>
  <c r="C34" i="12"/>
  <c r="C19" i="12"/>
  <c r="C27" i="12"/>
  <c r="C30" i="12"/>
  <c r="C23" i="12"/>
  <c r="C16" i="12"/>
  <c r="C32" i="12"/>
  <c r="C18" i="12"/>
  <c r="C20" i="12"/>
  <c r="C28" i="12"/>
  <c r="C21" i="12"/>
  <c r="C29" i="12"/>
  <c r="C22" i="12"/>
  <c r="C15" i="12"/>
  <c r="C31" i="12"/>
  <c r="C24" i="12"/>
  <c r="C13" i="12"/>
  <c r="C10" i="12"/>
  <c r="C9" i="12"/>
  <c r="C8" i="12"/>
  <c r="C11" i="12"/>
  <c r="C14" i="12"/>
  <c r="C12" i="12"/>
  <c r="Z17" i="5"/>
  <c r="O20" i="6"/>
  <c r="C62" i="6" l="1"/>
  <c r="H44" i="6"/>
  <c r="H45" i="6"/>
  <c r="H47" i="6"/>
  <c r="H49" i="6"/>
  <c r="H50" i="6"/>
  <c r="H51" i="6"/>
  <c r="H52" i="6"/>
  <c r="H53" i="6"/>
  <c r="H55" i="6"/>
  <c r="H57" i="6"/>
  <c r="H58" i="6"/>
  <c r="H59" i="6"/>
  <c r="H60" i="6"/>
  <c r="H61" i="6"/>
  <c r="H63" i="6"/>
  <c r="H65" i="6"/>
  <c r="H66" i="6"/>
  <c r="H67" i="6"/>
  <c r="H68" i="6"/>
  <c r="H46" i="6"/>
  <c r="H48" i="6"/>
  <c r="H54" i="6"/>
  <c r="H56" i="6"/>
  <c r="H62" i="6"/>
  <c r="H64"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3" i="6"/>
  <c r="C64" i="6"/>
  <c r="C65" i="6"/>
  <c r="C66" i="6"/>
  <c r="C67" i="6"/>
  <c r="C68" i="6"/>
  <c r="V42" i="5"/>
  <c r="G44" i="6" s="1"/>
  <c r="V43" i="5"/>
  <c r="G45" i="6" s="1"/>
  <c r="V44" i="5"/>
  <c r="G46" i="6" s="1"/>
  <c r="V45" i="5"/>
  <c r="G47" i="6" s="1"/>
  <c r="V46" i="5"/>
  <c r="G48" i="6" s="1"/>
  <c r="V47" i="5"/>
  <c r="G49" i="6" s="1"/>
  <c r="V48" i="5"/>
  <c r="G50" i="6" s="1"/>
  <c r="V49" i="5"/>
  <c r="G51" i="6" s="1"/>
  <c r="V50" i="5"/>
  <c r="G52" i="6" s="1"/>
  <c r="V51" i="5"/>
  <c r="G53" i="6" s="1"/>
  <c r="V52" i="5"/>
  <c r="G54" i="6" s="1"/>
  <c r="V53" i="5"/>
  <c r="G55" i="6" s="1"/>
  <c r="V54" i="5"/>
  <c r="G56" i="6" s="1"/>
  <c r="V55" i="5"/>
  <c r="G57" i="6" s="1"/>
  <c r="V56" i="5"/>
  <c r="G58" i="6" s="1"/>
  <c r="V57" i="5"/>
  <c r="G59" i="6" s="1"/>
  <c r="V58" i="5"/>
  <c r="G60" i="6" s="1"/>
  <c r="V59" i="5"/>
  <c r="G61" i="6" s="1"/>
  <c r="V60" i="5"/>
  <c r="G62" i="6" s="1"/>
  <c r="V61" i="5"/>
  <c r="G63" i="6" s="1"/>
  <c r="V62" i="5"/>
  <c r="G64" i="6" s="1"/>
  <c r="V63" i="5"/>
  <c r="G65" i="6" s="1"/>
  <c r="V64" i="5"/>
  <c r="G66" i="6" s="1"/>
  <c r="V65" i="5"/>
  <c r="G67" i="6" s="1"/>
  <c r="V66" i="5"/>
  <c r="G68" i="6" s="1"/>
  <c r="V22" i="5"/>
  <c r="G24" i="6" l="1"/>
  <c r="I60" i="6"/>
  <c r="I61" i="6"/>
  <c r="I53" i="6"/>
  <c r="I45" i="6"/>
  <c r="I68" i="6"/>
  <c r="I67" i="6"/>
  <c r="I56" i="6"/>
  <c r="I54" i="6"/>
  <c r="I65" i="6"/>
  <c r="I57" i="6"/>
  <c r="I49" i="6"/>
  <c r="I66" i="6"/>
  <c r="I48" i="6"/>
  <c r="I52" i="6"/>
  <c r="I62" i="6"/>
  <c r="I51" i="6"/>
  <c r="I50" i="6"/>
  <c r="I46" i="6"/>
  <c r="I63" i="6"/>
  <c r="I55" i="6"/>
  <c r="I47" i="6"/>
  <c r="I64" i="6"/>
  <c r="I44" i="6"/>
  <c r="I59" i="6"/>
  <c r="I58" i="6"/>
  <c r="C19" i="6"/>
  <c r="U71" i="6" s="1"/>
  <c r="D17" i="3" s="1"/>
  <c r="G10" i="6" l="1"/>
  <c r="G9" i="6"/>
  <c r="G8" i="6"/>
  <c r="G6" i="6"/>
  <c r="G11" i="6" l="1"/>
  <c r="I7" i="6"/>
  <c r="I8" i="6"/>
  <c r="I9" i="6"/>
  <c r="K9" i="6"/>
  <c r="I10" i="6"/>
  <c r="B32" i="3"/>
  <c r="B22" i="3"/>
  <c r="I11" i="6" l="1"/>
  <c r="D15" i="7" s="1"/>
  <c r="R72" i="7"/>
  <c r="F12" i="7" s="1"/>
  <c r="V23" i="5"/>
  <c r="G25" i="6" s="1"/>
  <c r="V24" i="5"/>
  <c r="V25" i="5"/>
  <c r="V26" i="5"/>
  <c r="V27" i="5"/>
  <c r="G29" i="6" s="1"/>
  <c r="V28" i="5"/>
  <c r="G30" i="6" s="1"/>
  <c r="V29" i="5"/>
  <c r="G31" i="6" s="1"/>
  <c r="V30" i="5"/>
  <c r="G32" i="6" s="1"/>
  <c r="V31" i="5"/>
  <c r="G33" i="6" s="1"/>
  <c r="V32" i="5"/>
  <c r="G34" i="6" s="1"/>
  <c r="V33" i="5"/>
  <c r="G35" i="6" s="1"/>
  <c r="V34" i="5"/>
  <c r="G36" i="6" s="1"/>
  <c r="V35" i="5"/>
  <c r="G37" i="6" s="1"/>
  <c r="V36" i="5"/>
  <c r="V37" i="5"/>
  <c r="V38" i="5"/>
  <c r="G40" i="6" s="1"/>
  <c r="V39" i="5"/>
  <c r="G41" i="6" s="1"/>
  <c r="V40" i="5"/>
  <c r="G42" i="6" s="1"/>
  <c r="V41" i="5"/>
  <c r="G43" i="6" s="1"/>
  <c r="T19" i="6"/>
  <c r="C21" i="8"/>
  <c r="G26" i="6" l="1"/>
  <c r="Z24" i="5"/>
  <c r="I12" i="6"/>
  <c r="D20" i="7" s="1"/>
  <c r="G27" i="6"/>
  <c r="G28" i="6"/>
  <c r="G38" i="6"/>
  <c r="D35" i="3"/>
  <c r="G39" i="6"/>
  <c r="D40" i="3"/>
  <c r="D28" i="3"/>
  <c r="H19" i="6"/>
  <c r="G19" i="6"/>
  <c r="D21" i="7" l="1"/>
  <c r="I19" i="6"/>
  <c r="C22" i="8"/>
  <c r="C23" i="8"/>
  <c r="C24" i="8"/>
  <c r="C25" i="8"/>
  <c r="C33" i="8" s="1"/>
  <c r="C29" i="8"/>
  <c r="C30" i="8" l="1"/>
  <c r="C32" i="8"/>
  <c r="C31" i="8"/>
  <c r="D8" i="3"/>
  <c r="E8" i="3" l="1"/>
  <c r="F8" i="3" s="1"/>
  <c r="G8" i="3" s="1"/>
  <c r="H8" i="3" s="1"/>
  <c r="I8" i="3" s="1"/>
  <c r="J8" i="3" s="1"/>
  <c r="K8" i="3" s="1"/>
  <c r="L8" i="3" s="1"/>
  <c r="M8" i="3" s="1"/>
  <c r="N8" i="3" s="1"/>
  <c r="O8" i="3" s="1"/>
  <c r="P8" i="3" s="1"/>
  <c r="C34" i="8"/>
  <c r="C8" i="9" s="1"/>
  <c r="Q8" i="3" l="1"/>
  <c r="R8" i="3" l="1"/>
  <c r="E10" i="3"/>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10" i="3" s="1"/>
  <c r="AH10" i="3" s="1"/>
  <c r="AI10" i="3" s="1"/>
  <c r="AJ10" i="3" s="1"/>
  <c r="AK10" i="3" s="1"/>
  <c r="AL10" i="3" s="1"/>
  <c r="AM10" i="3" s="1"/>
  <c r="AN10" i="3" s="1"/>
  <c r="AO10" i="3" s="1"/>
  <c r="AP10" i="3" s="1"/>
  <c r="AQ10" i="3" s="1"/>
  <c r="AR10" i="3" s="1"/>
  <c r="AS10" i="3" s="1"/>
  <c r="AT10" i="3" s="1"/>
  <c r="AU10" i="3" s="1"/>
  <c r="AV10" i="3" s="1"/>
  <c r="AW10" i="3" s="1"/>
  <c r="AX10" i="3" s="1"/>
  <c r="AY10" i="3" s="1"/>
  <c r="AZ10" i="3" s="1"/>
  <c r="BA10" i="3" s="1"/>
  <c r="S8" i="3" l="1"/>
  <c r="T8" i="3" l="1"/>
  <c r="I24" i="6"/>
  <c r="H25" i="6"/>
  <c r="I25" i="6" s="1"/>
  <c r="H26" i="6"/>
  <c r="I26" i="6" s="1"/>
  <c r="H27" i="6"/>
  <c r="I27"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I40" i="6" s="1"/>
  <c r="H41" i="6"/>
  <c r="I41" i="6" s="1"/>
  <c r="H42" i="6"/>
  <c r="I42" i="6" s="1"/>
  <c r="H43" i="6"/>
  <c r="I43" i="6" s="1"/>
  <c r="U8" i="3" l="1"/>
  <c r="T69" i="6"/>
  <c r="D14" i="3" s="1"/>
  <c r="C26" i="8"/>
  <c r="C7" i="9" l="1"/>
  <c r="D7" i="3"/>
  <c r="L10" i="6"/>
  <c r="M10" i="6" s="1"/>
  <c r="K10" i="6"/>
  <c r="L9" i="6"/>
  <c r="M9" i="6" s="1"/>
  <c r="L8" i="6"/>
  <c r="K8" i="6"/>
  <c r="K7" i="6"/>
  <c r="L7" i="6"/>
  <c r="V8" i="3"/>
  <c r="W8" i="3" s="1"/>
  <c r="H69" i="6"/>
  <c r="D17" i="7"/>
  <c r="R25" i="6" l="1"/>
  <c r="R41" i="6"/>
  <c r="R57" i="6"/>
  <c r="R22" i="6"/>
  <c r="R38" i="6"/>
  <c r="R54" i="6"/>
  <c r="R63" i="6"/>
  <c r="R60" i="6"/>
  <c r="R49" i="6"/>
  <c r="R66" i="6"/>
  <c r="R21" i="6"/>
  <c r="R34" i="6"/>
  <c r="R39" i="6"/>
  <c r="R52" i="6"/>
  <c r="R27" i="6"/>
  <c r="R43" i="6"/>
  <c r="R59" i="6"/>
  <c r="R24" i="6"/>
  <c r="R40" i="6"/>
  <c r="R56" i="6"/>
  <c r="R47" i="6"/>
  <c r="R28" i="6"/>
  <c r="R65" i="6"/>
  <c r="R46" i="6"/>
  <c r="R51" i="6"/>
  <c r="R48" i="6"/>
  <c r="R37" i="6"/>
  <c r="R50" i="6"/>
  <c r="R23" i="6"/>
  <c r="R20" i="6"/>
  <c r="R29" i="6"/>
  <c r="R45" i="6"/>
  <c r="R61" i="6"/>
  <c r="R26" i="6"/>
  <c r="R42" i="6"/>
  <c r="R58" i="6"/>
  <c r="R31" i="6"/>
  <c r="R44" i="6"/>
  <c r="R30" i="6"/>
  <c r="R62" i="6"/>
  <c r="R32" i="6"/>
  <c r="R64" i="6"/>
  <c r="R53" i="6"/>
  <c r="R68" i="6"/>
  <c r="R19" i="6"/>
  <c r="R55" i="6"/>
  <c r="R36" i="6"/>
  <c r="R67" i="6"/>
  <c r="R33" i="6"/>
  <c r="R35" i="6"/>
  <c r="V15" i="3"/>
  <c r="W15" i="3"/>
  <c r="AE15" i="3"/>
  <c r="AM15" i="3"/>
  <c r="AU15" i="3"/>
  <c r="AF15" i="3"/>
  <c r="AN15" i="3"/>
  <c r="AV15" i="3"/>
  <c r="AG15" i="3"/>
  <c r="AO15" i="3"/>
  <c r="AW15" i="3"/>
  <c r="AH15" i="3"/>
  <c r="AP15" i="3"/>
  <c r="AX15" i="3"/>
  <c r="AI15" i="3"/>
  <c r="AQ15" i="3"/>
  <c r="AY15" i="3"/>
  <c r="AJ15" i="3"/>
  <c r="AR15" i="3"/>
  <c r="AZ15" i="3"/>
  <c r="AK15" i="3"/>
  <c r="AS15" i="3"/>
  <c r="BA15" i="3"/>
  <c r="AD15" i="3"/>
  <c r="AL15" i="3"/>
  <c r="AT15" i="3"/>
  <c r="X15" i="3"/>
  <c r="Y15" i="3"/>
  <c r="Z15" i="3"/>
  <c r="AA15" i="3"/>
  <c r="AB15" i="3"/>
  <c r="AC15" i="3"/>
  <c r="E17" i="3"/>
  <c r="AB16" i="3"/>
  <c r="AJ16" i="3"/>
  <c r="AR16" i="3"/>
  <c r="AZ16" i="3"/>
  <c r="AG16" i="3"/>
  <c r="AC16" i="3"/>
  <c r="AK16" i="3"/>
  <c r="AS16" i="3"/>
  <c r="BA16" i="3"/>
  <c r="AO16" i="3"/>
  <c r="AY16" i="3"/>
  <c r="V16" i="3"/>
  <c r="AD16" i="3"/>
  <c r="AL16" i="3"/>
  <c r="AT16" i="3"/>
  <c r="Y16" i="3"/>
  <c r="AW16" i="3"/>
  <c r="W16" i="3"/>
  <c r="AE16" i="3"/>
  <c r="AM16" i="3"/>
  <c r="AU16" i="3"/>
  <c r="X16" i="3"/>
  <c r="AF16" i="3"/>
  <c r="AN16" i="3"/>
  <c r="AV16" i="3"/>
  <c r="Z16" i="3"/>
  <c r="AH16" i="3"/>
  <c r="AP16" i="3"/>
  <c r="AX16" i="3"/>
  <c r="AA16" i="3"/>
  <c r="AI16" i="3"/>
  <c r="AQ16" i="3"/>
  <c r="E14" i="3"/>
  <c r="M7" i="6"/>
  <c r="D16" i="7"/>
  <c r="D13" i="7" s="1"/>
  <c r="N7" i="6"/>
  <c r="N10" i="6"/>
  <c r="O10" i="6" s="1"/>
  <c r="M8" i="6"/>
  <c r="N8" i="6"/>
  <c r="O8" i="6" s="1"/>
  <c r="N9" i="6"/>
  <c r="O9" i="6" s="1"/>
  <c r="K11" i="6"/>
  <c r="E15" i="7" s="1"/>
  <c r="X8" i="3"/>
  <c r="O69" i="6"/>
  <c r="P72" i="7"/>
  <c r="N69" i="6"/>
  <c r="D25" i="8" s="1"/>
  <c r="F25" i="8" s="1"/>
  <c r="M69" i="6"/>
  <c r="L69" i="6"/>
  <c r="K69" i="6"/>
  <c r="S67" i="6" l="1"/>
  <c r="S35" i="6"/>
  <c r="S51" i="6"/>
  <c r="S66" i="6"/>
  <c r="S30" i="6"/>
  <c r="S46" i="6"/>
  <c r="S62" i="6"/>
  <c r="S37" i="6"/>
  <c r="S53" i="6"/>
  <c r="S68" i="6"/>
  <c r="S32" i="6"/>
  <c r="S48" i="6"/>
  <c r="S64" i="6"/>
  <c r="S44" i="6"/>
  <c r="S21" i="6"/>
  <c r="S23" i="6"/>
  <c r="S39" i="6"/>
  <c r="S55" i="6"/>
  <c r="S19" i="6"/>
  <c r="S34" i="6"/>
  <c r="S50" i="6"/>
  <c r="S36" i="6"/>
  <c r="S61" i="6"/>
  <c r="S25" i="6"/>
  <c r="S41" i="6"/>
  <c r="S57" i="6"/>
  <c r="S20" i="6"/>
  <c r="S52" i="6"/>
  <c r="S22" i="6"/>
  <c r="S38" i="6"/>
  <c r="S24" i="6"/>
  <c r="S27" i="6"/>
  <c r="S43" i="6"/>
  <c r="S59" i="6"/>
  <c r="S54" i="6"/>
  <c r="S56" i="6"/>
  <c r="S29" i="6"/>
  <c r="S45" i="6"/>
  <c r="S40" i="6"/>
  <c r="S31" i="6"/>
  <c r="S47" i="6"/>
  <c r="S63" i="6"/>
  <c r="S26" i="6"/>
  <c r="S42" i="6"/>
  <c r="S58" i="6"/>
  <c r="S33" i="6"/>
  <c r="S49" i="6"/>
  <c r="S65" i="6"/>
  <c r="S28" i="6"/>
  <c r="S60" i="6"/>
  <c r="H34" i="12"/>
  <c r="H31" i="12"/>
  <c r="H24" i="12"/>
  <c r="G12" i="12"/>
  <c r="H29" i="12"/>
  <c r="H18" i="12"/>
  <c r="H22" i="12"/>
  <c r="H19" i="12"/>
  <c r="H21" i="12"/>
  <c r="G11" i="12"/>
  <c r="H26" i="12"/>
  <c r="H23" i="12"/>
  <c r="H33" i="12"/>
  <c r="G13" i="12"/>
  <c r="F9" i="12"/>
  <c r="H28" i="12"/>
  <c r="H27" i="12"/>
  <c r="H25" i="12"/>
  <c r="H32" i="12"/>
  <c r="H17" i="12"/>
  <c r="G14" i="12"/>
  <c r="G10" i="12"/>
  <c r="H16" i="12"/>
  <c r="H20" i="12"/>
  <c r="H30" i="12"/>
  <c r="H15" i="12"/>
  <c r="F8" i="12"/>
  <c r="D26" i="12"/>
  <c r="D27" i="12"/>
  <c r="J27" i="12" s="1"/>
  <c r="D20" i="12"/>
  <c r="D28" i="12"/>
  <c r="D21" i="12"/>
  <c r="J21" i="12" s="1"/>
  <c r="Q16" i="3" s="1"/>
  <c r="D32" i="12"/>
  <c r="D11" i="12"/>
  <c r="J11" i="12" s="1"/>
  <c r="G16" i="3" s="1"/>
  <c r="D16" i="12"/>
  <c r="D24" i="12"/>
  <c r="D22" i="12"/>
  <c r="D25" i="12"/>
  <c r="J25" i="12" s="1"/>
  <c r="U16" i="3" s="1"/>
  <c r="D31" i="12"/>
  <c r="J31" i="12" s="1"/>
  <c r="D15" i="12"/>
  <c r="J15" i="12" s="1"/>
  <c r="K16" i="3" s="1"/>
  <c r="D17" i="12"/>
  <c r="D13" i="12"/>
  <c r="D8" i="12"/>
  <c r="J8" i="12" s="1"/>
  <c r="D16" i="3" s="1"/>
  <c r="D19" i="12"/>
  <c r="D18" i="12"/>
  <c r="D9" i="12"/>
  <c r="D30" i="12"/>
  <c r="J30" i="12" s="1"/>
  <c r="D23" i="12"/>
  <c r="D33" i="12"/>
  <c r="D34" i="12"/>
  <c r="J34" i="12" s="1"/>
  <c r="D29" i="12"/>
  <c r="D12" i="12"/>
  <c r="D10" i="12"/>
  <c r="D14" i="12"/>
  <c r="J14" i="12" s="1"/>
  <c r="J16" i="3" s="1"/>
  <c r="M11" i="6"/>
  <c r="F15" i="7" s="1"/>
  <c r="F16" i="7" s="1"/>
  <c r="F13" i="7" s="1"/>
  <c r="D18" i="7"/>
  <c r="D22" i="7"/>
  <c r="D39" i="8" s="1"/>
  <c r="D24" i="8"/>
  <c r="F24" i="8" s="1"/>
  <c r="O7" i="6"/>
  <c r="O11" i="6" s="1"/>
  <c r="E26" i="8"/>
  <c r="F26" i="8" s="1"/>
  <c r="F7" i="9" s="1"/>
  <c r="G12" i="6"/>
  <c r="E16" i="7"/>
  <c r="E13" i="7" s="1"/>
  <c r="K12" i="6"/>
  <c r="E20" i="7" s="1"/>
  <c r="R69" i="6"/>
  <c r="D23" i="8"/>
  <c r="F23" i="8" s="1"/>
  <c r="D22" i="8"/>
  <c r="F22" i="8" s="1"/>
  <c r="D21" i="8"/>
  <c r="E12" i="7"/>
  <c r="E17" i="7" s="1"/>
  <c r="D33" i="8"/>
  <c r="F33" i="8" s="1"/>
  <c r="E25" i="8"/>
  <c r="Y8" i="3"/>
  <c r="J29" i="12" l="1"/>
  <c r="J23" i="12"/>
  <c r="S16" i="3" s="1"/>
  <c r="J12" i="12"/>
  <c r="H16" i="3" s="1"/>
  <c r="J17" i="12"/>
  <c r="M16" i="3" s="1"/>
  <c r="J19" i="12"/>
  <c r="O16" i="3" s="1"/>
  <c r="J24" i="12"/>
  <c r="T16" i="3" s="1"/>
  <c r="J26" i="12"/>
  <c r="J16" i="12"/>
  <c r="L16" i="3" s="1"/>
  <c r="J20" i="12"/>
  <c r="P16" i="3" s="1"/>
  <c r="J22" i="12"/>
  <c r="R16" i="3" s="1"/>
  <c r="J13" i="12"/>
  <c r="I16" i="3" s="1"/>
  <c r="J9" i="12"/>
  <c r="E16" i="3" s="1"/>
  <c r="J33" i="12"/>
  <c r="J32" i="12"/>
  <c r="J28" i="12"/>
  <c r="J10" i="12"/>
  <c r="F16" i="3" s="1"/>
  <c r="J18" i="12"/>
  <c r="N16" i="3" s="1"/>
  <c r="D32" i="8"/>
  <c r="F32" i="8" s="1"/>
  <c r="E24" i="8"/>
  <c r="E21" i="7"/>
  <c r="E22" i="7"/>
  <c r="D40" i="8" s="1"/>
  <c r="D23" i="7"/>
  <c r="M12" i="6"/>
  <c r="F20" i="7" s="1"/>
  <c r="G15" i="7"/>
  <c r="G16" i="7" s="1"/>
  <c r="G13" i="7" s="1"/>
  <c r="E18" i="7"/>
  <c r="E7" i="9"/>
  <c r="D26" i="8"/>
  <c r="D7" i="9" s="1"/>
  <c r="C39" i="8"/>
  <c r="E39" i="8" s="1"/>
  <c r="F21" i="8"/>
  <c r="D29" i="8"/>
  <c r="F29" i="8" s="1"/>
  <c r="S69" i="6"/>
  <c r="E23" i="8"/>
  <c r="D31" i="8"/>
  <c r="F31" i="8" s="1"/>
  <c r="E22" i="8"/>
  <c r="D30" i="8"/>
  <c r="F30" i="8" s="1"/>
  <c r="E21" i="8"/>
  <c r="E33" i="8"/>
  <c r="Z8" i="3"/>
  <c r="E32" i="8" l="1"/>
  <c r="F15" i="3"/>
  <c r="D15" i="3"/>
  <c r="D18" i="3" s="1"/>
  <c r="I15" i="3"/>
  <c r="G15" i="3"/>
  <c r="E15" i="3"/>
  <c r="H15" i="3"/>
  <c r="E23" i="7"/>
  <c r="O12" i="6"/>
  <c r="F21" i="7"/>
  <c r="F22" i="7"/>
  <c r="G17" i="7"/>
  <c r="G18" i="7" s="1"/>
  <c r="C40" i="8"/>
  <c r="F17" i="7"/>
  <c r="F18" i="7" s="1"/>
  <c r="E29" i="8"/>
  <c r="E31" i="8"/>
  <c r="D34" i="8"/>
  <c r="E34" i="8" s="1"/>
  <c r="E45" i="8" s="1"/>
  <c r="E30" i="8"/>
  <c r="AA8" i="3"/>
  <c r="G22" i="7" l="1"/>
  <c r="D42" i="8" s="1"/>
  <c r="G20" i="7"/>
  <c r="G21" i="7" s="1"/>
  <c r="K15" i="3"/>
  <c r="J15" i="3"/>
  <c r="L15" i="3"/>
  <c r="M15" i="3"/>
  <c r="N15" i="3"/>
  <c r="E46" i="8"/>
  <c r="D41" i="8"/>
  <c r="F23" i="7"/>
  <c r="C42" i="8"/>
  <c r="C41" i="8"/>
  <c r="E8" i="9"/>
  <c r="D8" i="9"/>
  <c r="F34" i="8"/>
  <c r="F8" i="9" s="1"/>
  <c r="AY17" i="3"/>
  <c r="AX17" i="3"/>
  <c r="AR17" i="3"/>
  <c r="AT14" i="3"/>
  <c r="BA17" i="3"/>
  <c r="BA14" i="3"/>
  <c r="AU14" i="3"/>
  <c r="AS14" i="3"/>
  <c r="AY14" i="3"/>
  <c r="AW17" i="3"/>
  <c r="AS17" i="3"/>
  <c r="AW14" i="3"/>
  <c r="AX14" i="3"/>
  <c r="AT17" i="3"/>
  <c r="AV14" i="3"/>
  <c r="AV17" i="3"/>
  <c r="AR14" i="3"/>
  <c r="AZ14" i="3"/>
  <c r="F14" i="3"/>
  <c r="AU17" i="3"/>
  <c r="AZ17" i="3"/>
  <c r="AB8" i="3"/>
  <c r="G23" i="7" l="1"/>
  <c r="S15" i="3"/>
  <c r="O15" i="3"/>
  <c r="P15" i="3"/>
  <c r="Q15" i="3"/>
  <c r="R15" i="3"/>
  <c r="T15" i="3"/>
  <c r="U15" i="3"/>
  <c r="E41" i="8"/>
  <c r="E48" i="8" s="1"/>
  <c r="F14" i="9" s="1"/>
  <c r="E42" i="8"/>
  <c r="E49" i="8" s="1"/>
  <c r="F15" i="9" s="1"/>
  <c r="F42" i="8"/>
  <c r="F11" i="9"/>
  <c r="F17" i="3"/>
  <c r="G17" i="3" s="1"/>
  <c r="H17" i="3" s="1"/>
  <c r="I17" i="3" s="1"/>
  <c r="J17" i="3" s="1"/>
  <c r="K17" i="3" s="1"/>
  <c r="L17" i="3" s="1"/>
  <c r="M17" i="3" s="1"/>
  <c r="N17" i="3" s="1"/>
  <c r="O17" i="3" s="1"/>
  <c r="P17" i="3" s="1"/>
  <c r="Q17" i="3" s="1"/>
  <c r="R17" i="3" s="1"/>
  <c r="S17" i="3" s="1"/>
  <c r="T17" i="3" s="1"/>
  <c r="U17" i="3" s="1"/>
  <c r="V17" i="3" s="1"/>
  <c r="W17" i="3" s="1"/>
  <c r="X17" i="3" s="1"/>
  <c r="Y17" i="3" s="1"/>
  <c r="Z17" i="3" s="1"/>
  <c r="AA17" i="3" s="1"/>
  <c r="AB17" i="3" s="1"/>
  <c r="AC17" i="3" s="1"/>
  <c r="AD17" i="3" s="1"/>
  <c r="AE17" i="3" s="1"/>
  <c r="AF17" i="3" s="1"/>
  <c r="AG17" i="3" s="1"/>
  <c r="AH17" i="3" s="1"/>
  <c r="AI17" i="3" s="1"/>
  <c r="AJ17" i="3" s="1"/>
  <c r="AK17" i="3" s="1"/>
  <c r="AL17" i="3" s="1"/>
  <c r="AM17" i="3" s="1"/>
  <c r="AN17" i="3" s="1"/>
  <c r="AO17" i="3" s="1"/>
  <c r="AP17" i="3" s="1"/>
  <c r="AQ17" i="3" s="1"/>
  <c r="G14" i="3"/>
  <c r="H14" i="3" s="1"/>
  <c r="I14" i="3" s="1"/>
  <c r="J14" i="3" s="1"/>
  <c r="K14" i="3" s="1"/>
  <c r="L14" i="3" s="1"/>
  <c r="M14" i="3" s="1"/>
  <c r="N14" i="3" s="1"/>
  <c r="AC8" i="3"/>
  <c r="O14" i="3" l="1"/>
  <c r="AD8" i="3"/>
  <c r="P14" i="3" l="1"/>
  <c r="AE8" i="3"/>
  <c r="Q14" i="3" l="1"/>
  <c r="AF8" i="3"/>
  <c r="R14" i="3" l="1"/>
  <c r="AG8" i="3"/>
  <c r="S14" i="3" l="1"/>
  <c r="AH8" i="3"/>
  <c r="T14" i="3" l="1"/>
  <c r="U14" i="3" s="1"/>
  <c r="V14" i="3" s="1"/>
  <c r="AI8" i="3"/>
  <c r="AJ8" i="3" l="1"/>
  <c r="AK8" i="3" l="1"/>
  <c r="W14" i="3" l="1"/>
  <c r="AL8" i="3"/>
  <c r="X14" i="3" l="1"/>
  <c r="AM8" i="3"/>
  <c r="Y14" i="3" l="1"/>
  <c r="AN8" i="3"/>
  <c r="Z14" i="3" l="1"/>
  <c r="AO8" i="3"/>
  <c r="AA14" i="3" l="1"/>
  <c r="AP8" i="3"/>
  <c r="AB14" i="3" l="1"/>
  <c r="AQ8" i="3"/>
  <c r="AC14" i="3" l="1"/>
  <c r="AR8" i="3"/>
  <c r="AD14" i="3" l="1"/>
  <c r="AC18" i="3"/>
  <c r="AS8" i="3"/>
  <c r="AR18" i="3"/>
  <c r="AE14" i="3" l="1"/>
  <c r="AD18" i="3"/>
  <c r="AT8" i="3"/>
  <c r="AS18" i="3"/>
  <c r="AF14" i="3" l="1"/>
  <c r="AE18" i="3"/>
  <c r="AU8" i="3"/>
  <c r="AT18" i="3"/>
  <c r="AG14" i="3" l="1"/>
  <c r="AF18" i="3"/>
  <c r="AV8" i="3"/>
  <c r="AU18" i="3"/>
  <c r="AH14" i="3" l="1"/>
  <c r="AG18" i="3"/>
  <c r="AW8" i="3"/>
  <c r="AV18" i="3"/>
  <c r="AI14" i="3" l="1"/>
  <c r="AH18" i="3"/>
  <c r="AX8" i="3"/>
  <c r="AW18" i="3"/>
  <c r="AJ14" i="3" l="1"/>
  <c r="AI18" i="3"/>
  <c r="AY8" i="3"/>
  <c r="AX18" i="3"/>
  <c r="AK14" i="3" l="1"/>
  <c r="AJ18" i="3"/>
  <c r="AZ8" i="3"/>
  <c r="AY18" i="3"/>
  <c r="AL14" i="3" l="1"/>
  <c r="AK18" i="3"/>
  <c r="AZ18" i="3"/>
  <c r="BA8" i="3"/>
  <c r="BA18" i="3" s="1"/>
  <c r="AM14" i="3" l="1"/>
  <c r="AL18" i="3"/>
  <c r="AN14" i="3" l="1"/>
  <c r="AM18" i="3"/>
  <c r="V21" i="5"/>
  <c r="V18" i="5"/>
  <c r="V19" i="5"/>
  <c r="V20" i="5"/>
  <c r="D9" i="5" l="1"/>
  <c r="D27" i="3"/>
  <c r="D39" i="3"/>
  <c r="G22" i="6"/>
  <c r="I22" i="6" s="1"/>
  <c r="Z20" i="5"/>
  <c r="Z67" i="5" s="1"/>
  <c r="D34" i="3"/>
  <c r="G23" i="6"/>
  <c r="I23" i="6" s="1"/>
  <c r="D38" i="3"/>
  <c r="D8" i="5"/>
  <c r="G21" i="6"/>
  <c r="I21" i="6" s="1"/>
  <c r="D7" i="5"/>
  <c r="D22" i="3" s="1"/>
  <c r="V67" i="5"/>
  <c r="D37" i="3"/>
  <c r="D26" i="3"/>
  <c r="G20" i="6"/>
  <c r="D36" i="3"/>
  <c r="D25" i="3"/>
  <c r="AO14" i="3"/>
  <c r="AN18" i="3"/>
  <c r="D10" i="5"/>
  <c r="G69" i="6" l="1"/>
  <c r="I69" i="6" s="1"/>
  <c r="D24" i="3"/>
  <c r="C16" i="8"/>
  <c r="C17" i="8"/>
  <c r="D11" i="5"/>
  <c r="D32" i="3"/>
  <c r="I20" i="6"/>
  <c r="AP14" i="3"/>
  <c r="AO18" i="3"/>
  <c r="AQ14" i="3" l="1"/>
  <c r="AQ18" i="3" s="1"/>
  <c r="AP18" i="3"/>
  <c r="H18" i="3" l="1"/>
  <c r="G18" i="3"/>
  <c r="F18" i="3"/>
  <c r="E18" i="3"/>
  <c r="F12" i="9" l="1"/>
  <c r="F39" i="8"/>
  <c r="K18" i="3"/>
  <c r="J18" i="3"/>
  <c r="R18" i="3"/>
  <c r="V18" i="3"/>
  <c r="Z18" i="3"/>
  <c r="I18" i="3"/>
  <c r="S18" i="3"/>
  <c r="L18" i="3"/>
  <c r="N18" i="3"/>
  <c r="P18" i="3"/>
  <c r="T18" i="3"/>
  <c r="X18" i="3"/>
  <c r="AB18" i="3"/>
  <c r="M18" i="3"/>
  <c r="W18" i="3"/>
  <c r="O18" i="3"/>
  <c r="Q18" i="3"/>
  <c r="U18" i="3"/>
  <c r="Y18" i="3"/>
  <c r="AA18" i="3"/>
  <c r="D20" i="3" l="1"/>
  <c r="D30" i="3" s="1"/>
  <c r="F40" i="8"/>
  <c r="E40" i="8"/>
  <c r="E47" i="8" s="1"/>
  <c r="F13" i="9" s="1"/>
  <c r="F4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s>
  <commentList>
    <comment ref="B16" authorId="0" shapeId="0" xr:uid="{5407DAF3-FCC3-44E4-83A0-F1CF14F62589}">
      <text>
        <r>
          <rPr>
            <b/>
            <sz val="9"/>
            <color indexed="81"/>
            <rFont val="Tahoma"/>
            <family val="2"/>
          </rPr>
          <t xml:space="preserve">C-PACE ADMIN: </t>
        </r>
        <r>
          <rPr>
            <sz val="9"/>
            <color indexed="81"/>
            <rFont val="Tahoma"/>
            <family val="2"/>
          </rPr>
          <t>Note that costs included in the SIR include eligible soft costs.</t>
        </r>
      </text>
    </comment>
    <comment ref="B36" authorId="0" shapeId="0" xr:uid="{9364F51B-2984-4640-AB5D-D7D3B9EF0614}">
      <text>
        <r>
          <rPr>
            <b/>
            <sz val="9"/>
            <color indexed="81"/>
            <rFont val="Tahoma"/>
            <family val="2"/>
          </rPr>
          <t xml:space="preserve">C-PACE Admin: </t>
        </r>
        <r>
          <rPr>
            <sz val="9"/>
            <color indexed="81"/>
            <rFont val="Tahoma"/>
            <family val="2"/>
          </rPr>
          <t>Refers to 'other savings' (e.g., O&amp;M savings) included in Savings Analysis Tab. Does not include LL97 Savings from avoided compliance costs. Also does not include social cost value of carbon.</t>
        </r>
      </text>
    </comment>
    <comment ref="B44" authorId="1" shapeId="0" xr:uid="{2BA2B0D2-AEA3-41B2-B0E6-FCE50A6C7F63}">
      <text>
        <r>
          <rPr>
            <b/>
            <sz val="9"/>
            <color indexed="81"/>
            <rFont val="Tahoma"/>
            <family val="2"/>
          </rPr>
          <t>C-PACE Admin:</t>
        </r>
        <r>
          <rPr>
            <sz val="9"/>
            <color indexed="81"/>
            <rFont val="Tahoma"/>
            <family val="2"/>
          </rPr>
          <t xml:space="preserve"> Does not include social cost value of carbon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Lainie Rowland (NYCEEC)</author>
    <author>Megan Rosa</author>
  </authors>
  <commentList>
    <comment ref="B14" authorId="0" shapeId="0" xr:uid="{657FD32C-CC5E-4F56-9EDD-091D84854A00}">
      <text>
        <r>
          <rPr>
            <b/>
            <sz val="9"/>
            <color indexed="81"/>
            <rFont val="Tahoma"/>
            <family val="2"/>
          </rPr>
          <t xml:space="preserve">C-PACE Admin: </t>
        </r>
        <r>
          <rPr>
            <sz val="9"/>
            <color indexed="81"/>
            <rFont val="Tahoma"/>
            <family val="2"/>
          </rPr>
          <t xml:space="preserve">Note that savings values exclude savings from Prequalified Measures.
</t>
        </r>
      </text>
    </comment>
    <comment ref="B22" authorId="1" shapeId="0" xr:uid="{F0AC4CF1-B0E2-4451-AC10-E0E6E6ACDFAD}">
      <text>
        <r>
          <rPr>
            <b/>
            <sz val="9"/>
            <color indexed="81"/>
            <rFont val="Tahoma"/>
            <family val="2"/>
          </rPr>
          <t xml:space="preserve">C-PACE ADMIN: </t>
        </r>
        <r>
          <rPr>
            <sz val="9"/>
            <color indexed="81"/>
            <rFont val="Tahoma"/>
            <family val="2"/>
          </rPr>
          <t xml:space="preserve">The SIR calculation includes Energy Efficiency Costs, Renewable Energy Costs, Eligible Soft Costs, Incremental Costs, and Ancillary Measures that are Required to Implement Energy Improvements. It does not include costs for Ancillary Measures for Energy-Related Health and Safety in the calculation per the NYSERDA Technical Guidance, though these costs can be included in the total C-PACE loan amount. 
</t>
        </r>
      </text>
    </comment>
    <comment ref="B30" authorId="1" shapeId="0" xr:uid="{E2CE614E-0963-41DC-B28F-F023F47C8F9B}">
      <text>
        <r>
          <rPr>
            <b/>
            <sz val="9"/>
            <color indexed="81"/>
            <rFont val="Tahoma"/>
            <family val="2"/>
          </rPr>
          <t xml:space="preserve">C-PACE ADMIN: </t>
        </r>
        <r>
          <rPr>
            <sz val="9"/>
            <color indexed="81"/>
            <rFont val="Tahoma"/>
            <family val="2"/>
          </rPr>
          <t>The SIR must be equal to or greater than 1.0</t>
        </r>
      </text>
    </comment>
    <comment ref="B32" authorId="1" shapeId="0" xr:uid="{F1DA857D-A79E-4D56-9659-94444B4BA5DB}">
      <text>
        <r>
          <rPr>
            <b/>
            <sz val="9"/>
            <color indexed="81"/>
            <rFont val="Tahoma"/>
            <family val="2"/>
          </rPr>
          <t xml:space="preserve">C-PACE ADMIN: </t>
        </r>
        <r>
          <rPr>
            <sz val="9"/>
            <color indexed="81"/>
            <rFont val="Tahoma"/>
            <family val="2"/>
          </rPr>
          <t xml:space="preserve">The Total Eligible C-PACE Costs includes Energy Efficiency Costs, Renewable Energy Costs, Eligible Soft Costs, Prequalified Measure Costs, the total of cost Incremental Cost Approach measures, and Ancillary Costs (both types).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Lainie Rowland (NYCEEC)</author>
    <author>Megan Rosa</author>
  </authors>
  <commentList>
    <comment ref="C7" authorId="0" shapeId="0" xr:uid="{1886AF13-D285-44D2-B194-990AA5B09D6E}">
      <text>
        <r>
          <rPr>
            <b/>
            <sz val="9"/>
            <color indexed="81"/>
            <rFont val="Tahoma"/>
            <family val="2"/>
          </rPr>
          <t xml:space="preserve">C-PACE ADMIN: </t>
        </r>
        <r>
          <rPr>
            <sz val="9"/>
            <color indexed="81"/>
            <rFont val="Tahoma"/>
            <family val="2"/>
          </rPr>
          <t>Note that costs included in the SIR include eligible soft costs, ancillary measure costs required to implement energy efficiency improvements, costs of energy efficiency improvements, and costs of renewable energy systems. Prequalified Measure costs are excluded. For incremental cost approach measures, only the incremental costs are included in the SIR.</t>
        </r>
      </text>
    </comment>
    <comment ref="B12" authorId="1" shapeId="0" xr:uid="{91C33818-ED4D-489A-8D2F-0117C60467FB}">
      <text>
        <r>
          <rPr>
            <b/>
            <sz val="9"/>
            <color indexed="81"/>
            <rFont val="Tahoma"/>
            <family val="2"/>
          </rPr>
          <t>C-PACE ADMIN:</t>
        </r>
        <r>
          <rPr>
            <sz val="9"/>
            <color indexed="81"/>
            <rFont val="Tahoma"/>
            <family val="2"/>
          </rPr>
          <t xml:space="preserve"> The weighted average useful life is based on 2024-2029 Projected GHG Emissions Savings rates for each energy efficiency and renewable energy measure.</t>
        </r>
        <r>
          <rPr>
            <b/>
            <sz val="9"/>
            <color indexed="81"/>
            <rFont val="Tahoma"/>
            <family val="2"/>
          </rPr>
          <t xml:space="preserve">
</t>
        </r>
        <r>
          <rPr>
            <sz val="9"/>
            <color indexed="81"/>
            <rFont val="Tahoma"/>
            <family val="2"/>
          </rPr>
          <t xml:space="preserve">
</t>
        </r>
      </text>
    </comment>
    <comment ref="Q15" authorId="1" shapeId="0" xr:uid="{4E8F558B-3CFB-492D-8785-7F50548EDE83}">
      <text>
        <r>
          <rPr>
            <b/>
            <sz val="11"/>
            <color indexed="81"/>
            <rFont val="Tahoma"/>
            <family val="2"/>
          </rPr>
          <t>C-PACE ADMIN:</t>
        </r>
        <r>
          <rPr>
            <sz val="11"/>
            <color indexed="81"/>
            <rFont val="Tahoma"/>
            <family val="2"/>
          </rPr>
          <t xml:space="preserve"> If no capacity put "N/A"
</t>
        </r>
      </text>
    </comment>
    <comment ref="U15" authorId="1" shapeId="0" xr:uid="{09941B37-B6C1-48C9-A2B6-6D63F653B2F9}">
      <text>
        <r>
          <rPr>
            <b/>
            <sz val="9"/>
            <color indexed="81"/>
            <rFont val="Tahoma"/>
            <family val="2"/>
          </rPr>
          <t>C-PACE ADMIN:</t>
        </r>
        <r>
          <rPr>
            <sz val="9"/>
            <color indexed="81"/>
            <rFont val="Tahoma"/>
            <family val="2"/>
          </rPr>
          <t xml:space="preserve"> Unit cost should reflect upfront costs (i.e., costs before incentives or tax credits for energy efficiency improvements. </t>
        </r>
      </text>
    </comment>
    <comment ref="W15" authorId="1" shapeId="0" xr:uid="{FCA28609-3B42-4133-851F-3873F5BFC8C9}">
      <text>
        <r>
          <rPr>
            <b/>
            <sz val="9"/>
            <color indexed="81"/>
            <rFont val="Tahoma"/>
            <family val="2"/>
          </rPr>
          <t xml:space="preserve">C-PACE ADMIN:
</t>
        </r>
        <r>
          <rPr>
            <sz val="9"/>
            <color indexed="81"/>
            <rFont val="Tahoma"/>
            <family val="2"/>
          </rPr>
          <t xml:space="preserve">1. Eligible Soft Cost should have an effective useful life of 5 years per NYSERDA guidance.
2. </t>
        </r>
        <r>
          <rPr>
            <u/>
            <sz val="9"/>
            <color indexed="81"/>
            <rFont val="Tahoma"/>
            <family val="2"/>
          </rPr>
          <t>Effective Useful Life:</t>
        </r>
        <r>
          <rPr>
            <sz val="9"/>
            <color indexed="81"/>
            <rFont val="Tahoma"/>
            <family val="2"/>
          </rPr>
          <t xml:space="preserve"> For Energy Efficiency Improvements: Current New York State TRM (link below) or manufacturer's warranty or managed services contract length; Solar PV or Solar Thermal: manufacturer's warranty or managed services contract length; Combined Heat and Power: 10 years or managed services contract length; Battery storage: 10 years or managed services contract length; Fuel Cell: 10 years or managed services contract length.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Megan Rosa</author>
  </authors>
  <commentList>
    <comment ref="E4" authorId="0" shapeId="0" xr:uid="{739F7233-59F8-44A6-934C-5E466D90145E}">
      <text>
        <r>
          <rPr>
            <b/>
            <sz val="9"/>
            <color indexed="81"/>
            <rFont val="Tahoma"/>
            <family val="2"/>
          </rPr>
          <t xml:space="preserve">C-PACE ADMIN: </t>
        </r>
        <r>
          <rPr>
            <sz val="9"/>
            <color indexed="81"/>
            <rFont val="Tahoma"/>
            <family val="2"/>
          </rPr>
          <t>Baseline usage set using average of the last three years. See Technical Supplement for additional information and notes.</t>
        </r>
        <r>
          <rPr>
            <sz val="9"/>
            <color indexed="81"/>
            <rFont val="Tahoma"/>
            <family val="2"/>
          </rPr>
          <t xml:space="preserve">
</t>
        </r>
      </text>
    </comment>
    <comment ref="F4" authorId="1" shapeId="0" xr:uid="{8D60BFFC-AE96-4FCA-B877-D56B0026958E}">
      <text>
        <r>
          <rPr>
            <b/>
            <sz val="9"/>
            <color indexed="81"/>
            <rFont val="Tahoma"/>
            <family val="2"/>
          </rPr>
          <t xml:space="preserve">C-PACE ADMIN: </t>
        </r>
        <r>
          <rPr>
            <sz val="9"/>
            <color indexed="81"/>
            <rFont val="Tahoma"/>
            <family val="2"/>
          </rPr>
          <t xml:space="preserve">Blended rates are the are average of the last three years' = Ʃ(total billed $)/Ʃ(consumption)
</t>
        </r>
      </text>
    </comment>
    <comment ref="H4" authorId="0" shapeId="0" xr:uid="{39CB6AD6-AD9C-480A-88AD-ED57CFFD83D5}">
      <text>
        <r>
          <rPr>
            <b/>
            <sz val="9"/>
            <color indexed="81"/>
            <rFont val="Tahoma"/>
            <family val="2"/>
          </rPr>
          <t xml:space="preserve">C-PACE ADMIN: </t>
        </r>
        <r>
          <rPr>
            <sz val="9"/>
            <color indexed="81"/>
            <rFont val="Tahoma"/>
            <family val="2"/>
          </rPr>
          <t>Electricity coefficient given as tons CO2e/kWh, whereas all other coefficients are given as /kbtu.</t>
        </r>
      </text>
    </comment>
    <comment ref="E14" authorId="2" shapeId="0" xr:uid="{44C9FB79-5CD9-4507-AE7E-DE4E3C0EFE7D}">
      <text>
        <r>
          <rPr>
            <b/>
            <sz val="9"/>
            <color indexed="81"/>
            <rFont val="Tahoma"/>
            <family val="2"/>
          </rPr>
          <t xml:space="preserve">C-PACE ADMIN: </t>
        </r>
        <r>
          <rPr>
            <sz val="9"/>
            <color indexed="81"/>
            <rFont val="Tahoma"/>
            <family val="2"/>
          </rPr>
          <t>This is requested for informational purposes of the C-PACE reviewer only. This information does not impact calculations in the workbook.</t>
        </r>
      </text>
    </comment>
    <comment ref="J16" authorId="2" shapeId="0" xr:uid="{764E4D19-B792-4B24-B1FD-86CFDCB91556}">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<sst xmlns="http://schemas.openxmlformats.org/spreadsheetml/2006/main" count="1044" uniqueCount="787">
  <si>
    <t>Electricity</t>
  </si>
  <si>
    <t>Gross Floor Area</t>
  </si>
  <si>
    <t>Measure type</t>
  </si>
  <si>
    <t>Energy Efficiency Improvement</t>
  </si>
  <si>
    <t>Renewable Energy System</t>
  </si>
  <si>
    <t>Exactly as it appears in the construction bid</t>
  </si>
  <si>
    <t>Choose one</t>
  </si>
  <si>
    <t>If applicable, choose one</t>
  </si>
  <si>
    <t>Unit</t>
  </si>
  <si>
    <t>Number of years (no decimals)</t>
  </si>
  <si>
    <t>Repair utility meters</t>
  </si>
  <si>
    <t>Install real-time metering</t>
  </si>
  <si>
    <t>Install utility meter</t>
  </si>
  <si>
    <t>Sub-meter master metered building</t>
  </si>
  <si>
    <t>Sub-meter master metered campus</t>
  </si>
  <si>
    <t>Install load estimating software</t>
  </si>
  <si>
    <t>Install boiler blowdown heat recovery</t>
  </si>
  <si>
    <t>Install flue gas heat recovery for combustion air preheat</t>
  </si>
  <si>
    <t>Install automated surface blowdown in boiler</t>
  </si>
  <si>
    <t>Install or replace boiler temperature sensor</t>
  </si>
  <si>
    <t>Install or replace meter for boiler make-up water</t>
  </si>
  <si>
    <t>Install outdoor reset control for boiler</t>
  </si>
  <si>
    <t>Install oxygen trim control with boiler intake damper</t>
  </si>
  <si>
    <t>Install or upgrade boiler burner controller</t>
  </si>
  <si>
    <t>Install or upgrade fuel economizer control</t>
  </si>
  <si>
    <t>Upgrade boiler controls</t>
  </si>
  <si>
    <t>Install pressuretrols</t>
  </si>
  <si>
    <t>Replace flue smoke detector</t>
  </si>
  <si>
    <t>Install oil storage tank level indicator</t>
  </si>
  <si>
    <t>Install vaporstat</t>
  </si>
  <si>
    <t>Replace boiler controls</t>
  </si>
  <si>
    <t>Clean and tune boiler / furnace</t>
  </si>
  <si>
    <t>Perform boiler blowdown</t>
  </si>
  <si>
    <t>Repair fuel economizer</t>
  </si>
  <si>
    <t>Repair boiler controls</t>
  </si>
  <si>
    <t>Repair boiler sensors</t>
  </si>
  <si>
    <t>Repair boiler opacity monitor</t>
  </si>
  <si>
    <t>Repair oil leak</t>
  </si>
  <si>
    <t>Repair boiler burner</t>
  </si>
  <si>
    <t>Repair fuel line</t>
  </si>
  <si>
    <t>Repair fuel oil pump</t>
  </si>
  <si>
    <t>Convert boiler from gas-fired furnace to boiler supplied HHW coils</t>
  </si>
  <si>
    <t>Convert heating system from electricity to hot water</t>
  </si>
  <si>
    <t>Convert heating system from steam to hot water</t>
  </si>
  <si>
    <t>Convert boiler plant from #4 oil to #2 oil, natural gas, or dual fuel</t>
  </si>
  <si>
    <t>Increase biofuel blend</t>
  </si>
  <si>
    <t>Install separate base load boiler</t>
  </si>
  <si>
    <t>Calibrate, relocate, or repair boiler temperature sensor</t>
  </si>
  <si>
    <t>Install baffle inserts in boiler</t>
  </si>
  <si>
    <t>Install boiler bleeder valve</t>
  </si>
  <si>
    <t>Install boiler circulator pump</t>
  </si>
  <si>
    <t>Install damper for boiler exhaust</t>
  </si>
  <si>
    <t>Install or replace boiler jacket</t>
  </si>
  <si>
    <t>Install or replace filtration or chemical treatment system for boiler</t>
  </si>
  <si>
    <t>Replace boiler oil heater or pump</t>
  </si>
  <si>
    <t>Replace steam header</t>
  </si>
  <si>
    <t>Optimize boiler pressure during cooling season when only utilized for DHW</t>
  </si>
  <si>
    <t>Install automatic feedwater station</t>
  </si>
  <si>
    <t>Legacy Boiler Repairs</t>
  </si>
  <si>
    <t>Legacy Tune heating boilers/DHW heaters</t>
  </si>
  <si>
    <t>Replace boiler with smaller right-sized boiler</t>
  </si>
  <si>
    <t>Replace natural gas boiler with higher thermal efficiency natural gas boiler</t>
  </si>
  <si>
    <t>Replace atmospheric burner with sealed combustion or power burner</t>
  </si>
  <si>
    <t>Replace burner with linkageless burner</t>
  </si>
  <si>
    <t>Replace burner with modulating burner</t>
  </si>
  <si>
    <t>Legacy Replace burner with dual fuel burner of turndown ratio 13:1 or higher</t>
  </si>
  <si>
    <t>Optimize sequencing for multiple boilers</t>
  </si>
  <si>
    <t>Reoptimize boiler temperature reset</t>
  </si>
  <si>
    <t>Calibrate boiler controls</t>
  </si>
  <si>
    <t>Calibrate flue damper</t>
  </si>
  <si>
    <t>Adjust boiler controls</t>
  </si>
  <si>
    <t>Reconnect modulating combustion air dampers</t>
  </si>
  <si>
    <t>Implement boiler maintenance program</t>
  </si>
  <si>
    <t>Insulate heating hot water tank</t>
  </si>
  <si>
    <t>Replace heating hot water tank</t>
  </si>
  <si>
    <t>Install advanced BMS or energy management system</t>
  </si>
  <si>
    <t>Implement hot water reset based on outdoor air temperature</t>
  </si>
  <si>
    <t>Install control for optimum start / pre-warm / pre-cool</t>
  </si>
  <si>
    <t>Install monitor for fuel oil level, oil pressure, or coolant level</t>
  </si>
  <si>
    <t>Install or replace thermostat (other than programmable radiator thermostat)</t>
  </si>
  <si>
    <t>Install remote or tamper proof thermostat</t>
  </si>
  <si>
    <t>Replace outside air sensor with local weather station data</t>
  </si>
  <si>
    <t>Upgrade zone controls</t>
  </si>
  <si>
    <t>Replace CO2 sensor</t>
  </si>
  <si>
    <t>Replace controls</t>
  </si>
  <si>
    <t>Convert pneumatic control to direct digital control</t>
  </si>
  <si>
    <t>Adjust setpoints and setbacks for major system components</t>
  </si>
  <si>
    <t>Adjust setpoints and setbacks for minor system components</t>
  </si>
  <si>
    <t>Increase zone temperature deadband</t>
  </si>
  <si>
    <t>Install VAV tracking for duct pressure reset</t>
  </si>
  <si>
    <t>Repair temperature or pressure reset function</t>
  </si>
  <si>
    <t>Verify simultaneous heating and cooling does not occur unless intended</t>
  </si>
  <si>
    <t>Check monitoring sensors for proper calibration</t>
  </si>
  <si>
    <t>Restore VFD operation</t>
  </si>
  <si>
    <t>Restore time of day operation</t>
  </si>
  <si>
    <t>Calibrate thermostats and/or control valves</t>
  </si>
  <si>
    <t>Develop manual override protocol</t>
  </si>
  <si>
    <t>Implement outdoor air reset</t>
  </si>
  <si>
    <t>Optimize scheduling control</t>
  </si>
  <si>
    <t>Shutdown uneeded equipment</t>
  </si>
  <si>
    <t>Restore controls to automatic operation</t>
  </si>
  <si>
    <t>Optimize location of global sensor</t>
  </si>
  <si>
    <t>Control cooling to NYC cooling guidelines</t>
  </si>
  <si>
    <t>Legacy Reset Pressure/Temperature/Humidity Set points on System components</t>
  </si>
  <si>
    <t>Troubleshoot and repair communication with BMS/EMS/EMCS</t>
  </si>
  <si>
    <t>Repair failed controls</t>
  </si>
  <si>
    <t>Install or increase attic or knee wall insulation</t>
  </si>
  <si>
    <t>Install solar window shade</t>
  </si>
  <si>
    <t>Install low-e window film</t>
  </si>
  <si>
    <t>Cover or remove window or through-wall air conditioners during heating season</t>
  </si>
  <si>
    <t>Install automatic damper in stairwell or elevator shaft</t>
  </si>
  <si>
    <t>Install vestibule, air lock, or revolving door</t>
  </si>
  <si>
    <t>Seal penetrations other than windows or doors</t>
  </si>
  <si>
    <t>Weather seal and/or repair window or door</t>
  </si>
  <si>
    <t>Install or increase ceiling insulation</t>
  </si>
  <si>
    <t>Install or increase floor slab and/or foundation insulation</t>
  </si>
  <si>
    <t>Install or increase roof or soffit insulation</t>
  </si>
  <si>
    <t>Install or increase wall insulation</t>
  </si>
  <si>
    <t>Install reflective coating or green or blue roof</t>
  </si>
  <si>
    <t>Install or replace exterior solar screens</t>
  </si>
  <si>
    <t>Install or increase foundation insulation</t>
  </si>
  <si>
    <t>Insulate thermal bridge</t>
  </si>
  <si>
    <t>Replace exterior door</t>
  </si>
  <si>
    <t>Install rapid roll-up garage door</t>
  </si>
  <si>
    <t>Replace glazing with high performance glazing</t>
  </si>
  <si>
    <t>Replace window assembly with high performance window assembly</t>
  </si>
  <si>
    <t>Install wastewater heat recovery</t>
  </si>
  <si>
    <t>Install or increase insulation for non-pipe distribution components</t>
  </si>
  <si>
    <t>Install control for steam pressure reducing valve station</t>
  </si>
  <si>
    <t>Install feedback control for pressurized steam system</t>
  </si>
  <si>
    <t>Replace or install thermostatic radiator valve/programmable radiator thermostat</t>
  </si>
  <si>
    <t>Replace steam pressure reducing valve</t>
  </si>
  <si>
    <t>Replace steam radiator air vent (one-pipe system)</t>
  </si>
  <si>
    <t>Install water temperature sensors and optimize controls</t>
  </si>
  <si>
    <t>Replace steam controller</t>
  </si>
  <si>
    <t>Upgrade heat exchanger controls</t>
  </si>
  <si>
    <t>Install or increase heating or cooling system pipe insulation</t>
  </si>
  <si>
    <t>Add recirculating pumps</t>
  </si>
  <si>
    <t>Repair distribution pipe or valve</t>
  </si>
  <si>
    <t>Repair distribution pump or compressor, not including motor</t>
  </si>
  <si>
    <t>Repair or replace aquastat</t>
  </si>
  <si>
    <t>Repair feed water tank</t>
  </si>
  <si>
    <t>Repair condensate system</t>
  </si>
  <si>
    <t>Clean or repair fan coil unit or fin tube radiator</t>
  </si>
  <si>
    <t>Repair or clean heat exchanger</t>
  </si>
  <si>
    <t>Clean water distribution loop</t>
  </si>
  <si>
    <t>Install or upgrade master steam system venting</t>
  </si>
  <si>
    <t>Install steam condensate heat recovery</t>
  </si>
  <si>
    <t>Install radiator covers</t>
  </si>
  <si>
    <t>Implement steam trap maintenance program</t>
  </si>
  <si>
    <t>Repair and/or replace steam trap</t>
  </si>
  <si>
    <t>Replace steam trap with orifice plate (two-pipe system)</t>
  </si>
  <si>
    <t>Replace condensate return system</t>
  </si>
  <si>
    <t>Replace vacuum steam condensate return pump</t>
  </si>
  <si>
    <t>Vent flash steam from condensate return unit</t>
  </si>
  <si>
    <t>Separate service hot water from heating system</t>
  </si>
  <si>
    <t>Testing, adjusting, and balancing of chilled / hot water distribution system</t>
  </si>
  <si>
    <t>Adjust aquastat setpoint</t>
  </si>
  <si>
    <t>Restore steam, chilled / hot  / condenser water valve control</t>
  </si>
  <si>
    <t>Adjust mixing valve</t>
  </si>
  <si>
    <t>Adjust pressure drop</t>
  </si>
  <si>
    <t>Optimize operating differential to avoid short cycling</t>
  </si>
  <si>
    <t>Reduce chilled water pump flow</t>
  </si>
  <si>
    <t>Adjust pump control valves</t>
  </si>
  <si>
    <t>Insulate receiver / expansion / condensate tank</t>
  </si>
  <si>
    <t>Replace expansion / receiver / condensate tank</t>
  </si>
  <si>
    <t>Install freeze protection for piping</t>
  </si>
  <si>
    <t>Perform chilled water pump survey</t>
  </si>
  <si>
    <t>Perform steam trap survey</t>
  </si>
  <si>
    <t>Replace hot water or chilled water pumps</t>
  </si>
  <si>
    <t>Replace drip pans</t>
  </si>
  <si>
    <t>Install additional chilled water system</t>
  </si>
  <si>
    <t>Upgrade, install or replace TRVs, thermostats, CVs, actuators, dampers</t>
  </si>
  <si>
    <t>Install chiller heat recovery</t>
  </si>
  <si>
    <t>Install waterside economizer</t>
  </si>
  <si>
    <t>Improve waterside economizer function</t>
  </si>
  <si>
    <t>Install cooling tower to support conversion to water cooled HVAC package units</t>
  </si>
  <si>
    <t>Replace cooling tower with higher efficiency cooling tower</t>
  </si>
  <si>
    <t>Calibrate, relocate, or repair chilled water temperature sensor</t>
  </si>
  <si>
    <t>Install control to stage chillers</t>
  </si>
  <si>
    <t>Install or replace chilled water temperature sensor</t>
  </si>
  <si>
    <t>Install or replace meter for cooling tower make-up water</t>
  </si>
  <si>
    <t>Install or replace chiller controller</t>
  </si>
  <si>
    <t>Repair chiller plant components</t>
  </si>
  <si>
    <t>Repair or clean cooling tower</t>
  </si>
  <si>
    <t>Install or replace treatment or filtration system for chilled water plant</t>
  </si>
  <si>
    <t>Install variable primary cooling plant pump</t>
  </si>
  <si>
    <t>Upgrade condenser water pump</t>
  </si>
  <si>
    <t>Overhaul or recondition compressor</t>
  </si>
  <si>
    <t>Install VSD on electric centrifugal chillers</t>
  </si>
  <si>
    <t>Install separate base load cooling system</t>
  </si>
  <si>
    <t>Replace electric chiller with absorption chiller</t>
  </si>
  <si>
    <t>Replace electric chiller with higher efficiency electric chiller</t>
  </si>
  <si>
    <t>Replace absorption chiller with electric chiller</t>
  </si>
  <si>
    <t>Implement chilled water reset control strategy</t>
  </si>
  <si>
    <t>Implement condenser water reset control strategy</t>
  </si>
  <si>
    <t>Implement cooling tower load-sharing</t>
  </si>
  <si>
    <t>Optimize condenser water controls</t>
  </si>
  <si>
    <t>Optimize cooling tower chemical treatment program</t>
  </si>
  <si>
    <t>Optimize head pressure control for condenser fans</t>
  </si>
  <si>
    <t>Optimize sequencing for multiple chillers</t>
  </si>
  <si>
    <t>Reoptimize chilled water temperature reset</t>
  </si>
  <si>
    <t>Reoptimize condenser temperature reset</t>
  </si>
  <si>
    <t>Modulate cooling tower fan speed</t>
  </si>
  <si>
    <t>Add engine driven chiller</t>
  </si>
  <si>
    <t>Add elevator regenerative drives</t>
  </si>
  <si>
    <t>Upgrade elevator / escalator controls</t>
  </si>
  <si>
    <t>Upgrade elevator hydraulic systems</t>
  </si>
  <si>
    <t>Upgrade elevator / escalator motor</t>
  </si>
  <si>
    <t>Repair elevator components</t>
  </si>
  <si>
    <t>Replace server with virtual server or replace desktop with laptop</t>
  </si>
  <si>
    <t>Install separate cooling system for data center</t>
  </si>
  <si>
    <t>Replace computer room air conditioner with transfer air</t>
  </si>
  <si>
    <t>Decommission or re-purpose servers</t>
  </si>
  <si>
    <t>Optimize temperature set points in server rooms</t>
  </si>
  <si>
    <t>Upgrade server to higher efficiency server</t>
  </si>
  <si>
    <t>Repair distributed generation equipment</t>
  </si>
  <si>
    <t>Install cogeneration system</t>
  </si>
  <si>
    <t>Install fuel cell</t>
  </si>
  <si>
    <t>Install microturbine on district steam service</t>
  </si>
  <si>
    <t>Improve operating protocols or calibration for distributed generation systems</t>
  </si>
  <si>
    <t>Install electric battery storage</t>
  </si>
  <si>
    <t>Install thermal energy storage</t>
  </si>
  <si>
    <t>Install load shedding capability</t>
  </si>
  <si>
    <t>Reduce Peak demands caused by Air Conditioning and/or electric heating</t>
  </si>
  <si>
    <t>Rewire, adjust, repair interlocking or imbalance in electric distribution</t>
  </si>
  <si>
    <t>Install power factor correction device</t>
  </si>
  <si>
    <t>Install power conditioning to improve power quality</t>
  </si>
  <si>
    <t>Consolidate electric meters</t>
  </si>
  <si>
    <t>Install uninterruptible power supply</t>
  </si>
  <si>
    <t>Upgrade electrical panel</t>
  </si>
  <si>
    <t>Upgrade transformer</t>
  </si>
  <si>
    <t>Replace electrical outlets</t>
  </si>
  <si>
    <t>Provide power to HVAC equipment</t>
  </si>
  <si>
    <t>Energy/PowerStation Modification</t>
  </si>
  <si>
    <t>Install daylight sensor and lighting control</t>
  </si>
  <si>
    <t>Rewire fixtures or add dimming ballast to allow daylight control</t>
  </si>
  <si>
    <t>Install bi-level lighting for egress or area with 24/7 use</t>
  </si>
  <si>
    <t>Install occupancy / vacancy sensor and lighting control</t>
  </si>
  <si>
    <t>Calibrate, relocate, or repair lighting sensor or control</t>
  </si>
  <si>
    <t>Clean light fixtures, covers, and lamps</t>
  </si>
  <si>
    <t>Repair lighting and/or wiring</t>
  </si>
  <si>
    <t>Install light shelf or tubular daylighting device</t>
  </si>
  <si>
    <t>Install new exterior window or skylight opening</t>
  </si>
  <si>
    <t>Install photocell or time clock control for exterior lighting</t>
  </si>
  <si>
    <t>Install time clock control for interior lighting</t>
  </si>
  <si>
    <t>Delamp lighting fixtures in overlit areas</t>
  </si>
  <si>
    <t>Install task lighting to reduce dependence on general illumination</t>
  </si>
  <si>
    <t>Replace diffusers</t>
  </si>
  <si>
    <t>Install advanced lighting technology</t>
  </si>
  <si>
    <t>Replace lamps with LED lamps</t>
  </si>
  <si>
    <t>Replace lighting fixtures with LED fixtures</t>
  </si>
  <si>
    <t>Replace street lights with LED fixtures</t>
  </si>
  <si>
    <t>Replace with T-5 fixtures</t>
  </si>
  <si>
    <t>Replace with T-8 fixtures</t>
  </si>
  <si>
    <t>Replace with CFL fixtures</t>
  </si>
  <si>
    <t>Replace exit signs with LED exit signs</t>
  </si>
  <si>
    <t>Install high efficiency exterior site, facade, security or parking lighting</t>
  </si>
  <si>
    <t>Optimize or calibrate lighting controls</t>
  </si>
  <si>
    <t>Implement overnight lighting schedule</t>
  </si>
  <si>
    <t>Adjust vacancy control settings</t>
  </si>
  <si>
    <t>Optimize lighting levels</t>
  </si>
  <si>
    <t>Replace lighting control system</t>
  </si>
  <si>
    <t>Install VFD for distribution pump</t>
  </si>
  <si>
    <t>Install VFD for HVAC fan</t>
  </si>
  <si>
    <t>Install VFD for cooling tower</t>
  </si>
  <si>
    <t>Replace failed fan or pump VFD</t>
  </si>
  <si>
    <t>Repair motors/drives</t>
  </si>
  <si>
    <t>Clean motors/drives</t>
  </si>
  <si>
    <t>Replace pump or fan motor with premium efficiency motor</t>
  </si>
  <si>
    <t>Operate VFDs at maximum turndown, vary by season, time of day, and occupancy</t>
  </si>
  <si>
    <t>Adjust belt guard</t>
  </si>
  <si>
    <t>Adjust motor belt tension</t>
  </si>
  <si>
    <t>Perform motor vibration analysis</t>
  </si>
  <si>
    <t>Reconnect motor</t>
  </si>
  <si>
    <t>Balance motor phases</t>
  </si>
  <si>
    <t>Replace motor starter and magnetic coils</t>
  </si>
  <si>
    <t>Insulate duct</t>
  </si>
  <si>
    <t>Install enthalpy wheel</t>
  </si>
  <si>
    <t>Install heat pipe</t>
  </si>
  <si>
    <t>Install heat recovery from swimming pool air</t>
  </si>
  <si>
    <t>Install run-around loop (liquid coupled heat exchanger)</t>
  </si>
  <si>
    <t>Install ventilation heat or energy recovery</t>
  </si>
  <si>
    <t>Dehumidification with heat exchanger</t>
  </si>
  <si>
    <t>Install dual-path electric system</t>
  </si>
  <si>
    <t>Install electrical desiccant system</t>
  </si>
  <si>
    <t>Improve airside economizer function</t>
  </si>
  <si>
    <t>Install airside economizer</t>
  </si>
  <si>
    <t>Repair components to enable economizer operation</t>
  </si>
  <si>
    <t>Add enthalpy economizer</t>
  </si>
  <si>
    <t>Calibrate, relocate, or repair HVAC temperature sensor</t>
  </si>
  <si>
    <t>Install or replace HVAC differential pressure sensor</t>
  </si>
  <si>
    <t>Install or replace HVAC temperature sensor</t>
  </si>
  <si>
    <t>Install or replace HVAC timer for schedule control</t>
  </si>
  <si>
    <t>Install economizer controls</t>
  </si>
  <si>
    <t xml:space="preserve">Replace fan controller </t>
  </si>
  <si>
    <t>Install wireless HVAC controls</t>
  </si>
  <si>
    <t>Install seasonal control switch</t>
  </si>
  <si>
    <t>Upgrade HVAC unit controls</t>
  </si>
  <si>
    <t>Testing, adjusting, and balancing of ventilation / air distribution system</t>
  </si>
  <si>
    <t>Clean duct, vent, grill, coil, or valve in air distribution system</t>
  </si>
  <si>
    <t>Repair fan belt, pulley, or bearings</t>
  </si>
  <si>
    <t>Replace air filter</t>
  </si>
  <si>
    <t>Clean and repair air filters</t>
  </si>
  <si>
    <t>Repair AHU</t>
  </si>
  <si>
    <t>Repair AHU controls</t>
  </si>
  <si>
    <t>Repair HV unit</t>
  </si>
  <si>
    <t>Repair outside air damper and/or actuator</t>
  </si>
  <si>
    <t>Repair RTU</t>
  </si>
  <si>
    <t>Repair flexible connection</t>
  </si>
  <si>
    <t>Repair or clean fan</t>
  </si>
  <si>
    <t>Repair convector</t>
  </si>
  <si>
    <t>Repair zone distribution components</t>
  </si>
  <si>
    <t>Repair or restore HV unit controls</t>
  </si>
  <si>
    <t>Repair or clean fire damper</t>
  </si>
  <si>
    <t>Replace failed HVAC sensors</t>
  </si>
  <si>
    <t>Convert dual duct, constant volume, or multi zone system to VAV system</t>
  </si>
  <si>
    <t>Replace heating and/or cooling with air to air heat pump</t>
  </si>
  <si>
    <t>Install split unit</t>
  </si>
  <si>
    <t>Install demand control for kitchen exhaust hood</t>
  </si>
  <si>
    <t>Install demand control with Cox/NOx/SOx or occupancy sensor</t>
  </si>
  <si>
    <t>Install passive solar heating technologies</t>
  </si>
  <si>
    <t>Install solar ventilation preheating system</t>
  </si>
  <si>
    <t>Install thermal destratification fan</t>
  </si>
  <si>
    <t>Replace heating and/or cooling with air to water or water to water heat pump</t>
  </si>
  <si>
    <t>Install control for window or through-wall air conditioning units</t>
  </si>
  <si>
    <t>Recover, recharge, or convert refrigerant</t>
  </si>
  <si>
    <t>Replace window or through wall air conditioner with higher efficiency unit</t>
  </si>
  <si>
    <t>Optimize control for window or through-wall air conditioning units</t>
  </si>
  <si>
    <t>Provide refrigerant additive</t>
  </si>
  <si>
    <t>Remove unused damper or guide vane</t>
  </si>
  <si>
    <t>Replace radiator, fan coil, convector, or heating unit</t>
  </si>
  <si>
    <t>Install coil filters</t>
  </si>
  <si>
    <t>Implement HVAC coil coating</t>
  </si>
  <si>
    <t>Install air curtain</t>
  </si>
  <si>
    <t>Replace burner in furnace</t>
  </si>
  <si>
    <t>Replace furnace</t>
  </si>
  <si>
    <t>Isolate steam coil on supply fans</t>
  </si>
  <si>
    <t>Install coil bypass duct, damper, and control for shoulder season operation</t>
  </si>
  <si>
    <t>Install control for night purge cycle</t>
  </si>
  <si>
    <t>Install control for static pressure</t>
  </si>
  <si>
    <t>Install control for ventilation supply or exhaust fan</t>
  </si>
  <si>
    <t>Install dedicated outdoor air system</t>
  </si>
  <si>
    <t>Install high efficiency air filter</t>
  </si>
  <si>
    <t>Install high plume dilution (Strobic) exhaust fan for process exhaust</t>
  </si>
  <si>
    <t>Install or replace outside air damper control and actuator</t>
  </si>
  <si>
    <t>Install control to open windows when outdoor conditions allow; interlock w/ HVAC</t>
  </si>
  <si>
    <t>Install separate supply ducts to hot deck and cold deck</t>
  </si>
  <si>
    <t>Adjust ventilation rate</t>
  </si>
  <si>
    <t>Replace VAV box</t>
  </si>
  <si>
    <t>Upgrade or decommission laboratory fume hood</t>
  </si>
  <si>
    <t>Install spill duct</t>
  </si>
  <si>
    <t>Restablish use of heating ventilators</t>
  </si>
  <si>
    <t>Reshape and/or patch ductwork</t>
  </si>
  <si>
    <t>Replace flexible connection</t>
  </si>
  <si>
    <t>Restore operation of mechanical ventilation equipment</t>
  </si>
  <si>
    <t>Replace heating and ventilation unit</t>
  </si>
  <si>
    <t>Replace fan</t>
  </si>
  <si>
    <t>Repair refrigerant leak</t>
  </si>
  <si>
    <t>Seal duct</t>
  </si>
  <si>
    <t>Replace damper and/or actuator for HVAC system</t>
  </si>
  <si>
    <t>Install ground source heat pump</t>
  </si>
  <si>
    <t>Replace air handling unit heating or cooling coil</t>
  </si>
  <si>
    <t>Replace air handling unit with higher efficiency air handling unit</t>
  </si>
  <si>
    <t xml:space="preserve">Replace existing belt drive with synchronous belt drive </t>
  </si>
  <si>
    <t>Replace V-Belts</t>
  </si>
  <si>
    <t>Replace fan belts / bearings</t>
  </si>
  <si>
    <t>Replace air handling unit fan</t>
  </si>
  <si>
    <t>Convert air cooled package unit to water cooled package unit with cooling tower</t>
  </si>
  <si>
    <t>Replace RTU, PTAC, or DX unit with higher efficiency packaged unit</t>
  </si>
  <si>
    <t>Replace or repair air compressor and components</t>
  </si>
  <si>
    <t>Install air dryer with compressor system</t>
  </si>
  <si>
    <t>Calibrate, relocate, or repair differential pressure sensor</t>
  </si>
  <si>
    <t>Close outside air dampers during start-up</t>
  </si>
  <si>
    <t xml:space="preserve">Implement correct minimum outside air damper position </t>
  </si>
  <si>
    <t>Implement occupancy scheduling for fans</t>
  </si>
  <si>
    <t>Incorporate optimal start/stop strategy</t>
  </si>
  <si>
    <t>Optimize hot deck / cold deck air handler controls</t>
  </si>
  <si>
    <t>Reoptimize supply air temperature reset</t>
  </si>
  <si>
    <t>Repair VFD control loops for pumps and fans</t>
  </si>
  <si>
    <t>Verify and optimize sequence of operation</t>
  </si>
  <si>
    <t>Implement filter maintenance protocol</t>
  </si>
  <si>
    <t>Restore outside air damper controls</t>
  </si>
  <si>
    <t>Enable economizer control</t>
  </si>
  <si>
    <t>Implement supply air temperature reset</t>
  </si>
  <si>
    <t>Implement variable air control for VAV systems</t>
  </si>
  <si>
    <t>Implement/optimize HVAC schedule on existing system</t>
  </si>
  <si>
    <t>Implement RTU maintenance program</t>
  </si>
  <si>
    <t>Implement proper maintenance procedure for machine bearings</t>
  </si>
  <si>
    <t>Implement air leak maintenance program</t>
  </si>
  <si>
    <t>Implement fan belt maintenance program</t>
  </si>
  <si>
    <t>Insulate HV unit</t>
  </si>
  <si>
    <t>Install variable refrigerant flow system</t>
  </si>
  <si>
    <t>HVAC improvements</t>
  </si>
  <si>
    <t>Optimize components of existing roof top unit(s) for energy efficiency</t>
  </si>
  <si>
    <t>Implement chemical treatment for various HVAC systems (non-boiler)</t>
  </si>
  <si>
    <t>Install software to control desktop computer power except critical applications</t>
  </si>
  <si>
    <t>Install plug load controls for convenience receptacles</t>
  </si>
  <si>
    <t>Install vending miser technology</t>
  </si>
  <si>
    <t>Replace appliances and computers with Energy Star models</t>
  </si>
  <si>
    <t>Replace refrigeration unit with higher efficiency refrigeration unit</t>
  </si>
  <si>
    <t>Install controls for refrigeration system</t>
  </si>
  <si>
    <t>Calibrate, relocate, or repair SHW temperature sensor</t>
  </si>
  <si>
    <t>Repair service hot water components</t>
  </si>
  <si>
    <t>Clean filtration water loop</t>
  </si>
  <si>
    <t>Decrease SHW temperature</t>
  </si>
  <si>
    <t>Install swimming pool cover to reduce vaporization</t>
  </si>
  <si>
    <t>Replace SHW mixing valve or circulating pump</t>
  </si>
  <si>
    <t>Install heat pump water heater</t>
  </si>
  <si>
    <t>Install control for service hot water heater</t>
  </si>
  <si>
    <t>Install solar thermal water heating for service hot water</t>
  </si>
  <si>
    <t>Install solar thermal water heating for swimming pool</t>
  </si>
  <si>
    <t>Replace storage water heater with tankless electric water heater</t>
  </si>
  <si>
    <t>Replace storage water heater with tankless gas water heater</t>
  </si>
  <si>
    <t>Install water pressure booster</t>
  </si>
  <si>
    <t>Insulate service hot water piping</t>
  </si>
  <si>
    <t>Replace or install water heater tank insulation</t>
  </si>
  <si>
    <t>Replace service hot water piping</t>
  </si>
  <si>
    <t>Replace coil for tankless water heater</t>
  </si>
  <si>
    <t>Install separate service hot water heater</t>
  </si>
  <si>
    <t>Replace storage water heater with higher efficiency storage water heater</t>
  </si>
  <si>
    <t>Optimize domestic water pump</t>
  </si>
  <si>
    <t>Adjust domestic hot water temperatures</t>
  </si>
  <si>
    <t>Use service hot water heater year-round</t>
  </si>
  <si>
    <t>Restore automatic operation of domestic water components</t>
  </si>
  <si>
    <t>Adjust pool water temperature</t>
  </si>
  <si>
    <t>Optimize service hot water heater opertation</t>
  </si>
  <si>
    <t>Install gas fired SHW system</t>
  </si>
  <si>
    <t>Implement water efficient irrigation</t>
  </si>
  <si>
    <t>Install aerator for lavatory faucet or shower head</t>
  </si>
  <si>
    <t>Install motion activated lavatory faucet</t>
  </si>
  <si>
    <t>Install dual mode flushometer</t>
  </si>
  <si>
    <t>Install motion activated flushometer</t>
  </si>
  <si>
    <t>Install self closing shower valves</t>
  </si>
  <si>
    <t>Install pre-rinse valve</t>
  </si>
  <si>
    <t>Repair leak in plumbing equipment</t>
  </si>
  <si>
    <t>Perform a water audit</t>
  </si>
  <si>
    <t>Modified DCAS Measures List</t>
  </si>
  <si>
    <t>01 Advanced Metering Systems</t>
  </si>
  <si>
    <t>02 Boiler Plant</t>
  </si>
  <si>
    <t>03 Building Automation Systems</t>
  </si>
  <si>
    <t>04 Building Envelope</t>
  </si>
  <si>
    <t>05 Chilled Water Hot Water And Steam Distribution Systems</t>
  </si>
  <si>
    <t>06 Chiller Plant</t>
  </si>
  <si>
    <t>07 Conveyance Systems</t>
  </si>
  <si>
    <t>08 Data Center</t>
  </si>
  <si>
    <t>09 Distributed Generation</t>
  </si>
  <si>
    <t>10 Electrical Peak Shaving Load Shifting</t>
  </si>
  <si>
    <t>11 Energy Distribution Systems</t>
  </si>
  <si>
    <t>12 Lighting</t>
  </si>
  <si>
    <t>13 Other Electric Motors And Drives</t>
  </si>
  <si>
    <t>15 Plug Loads</t>
  </si>
  <si>
    <t>16 Refrigeration</t>
  </si>
  <si>
    <t>18 Service Hot Water Systems</t>
  </si>
  <si>
    <t>20 Water And Sewer Conservation Systems</t>
  </si>
  <si>
    <t>19 Uncategorized</t>
  </si>
  <si>
    <t>Install small wind system</t>
  </si>
  <si>
    <t>Install solar photovoltaic system</t>
  </si>
  <si>
    <t>Install solar thermal system</t>
  </si>
  <si>
    <t>Install ground source heat pumps</t>
  </si>
  <si>
    <t>Install anaerobic digester gas (ADG)</t>
  </si>
  <si>
    <t>Install air source heat pumps</t>
  </si>
  <si>
    <t>Install wood heating system</t>
  </si>
  <si>
    <t>Install energy storage</t>
  </si>
  <si>
    <t>Renewable energy systems</t>
  </si>
  <si>
    <t>Building locations</t>
  </si>
  <si>
    <t>Units</t>
  </si>
  <si>
    <t>ft</t>
  </si>
  <si>
    <t>units</t>
  </si>
  <si>
    <r>
      <t>ft</t>
    </r>
    <r>
      <rPr>
        <vertAlign val="superscript"/>
        <sz val="11"/>
        <color theme="1"/>
        <rFont val="Calibri"/>
        <family val="2"/>
        <scheme val="minor"/>
      </rPr>
      <t>2</t>
    </r>
  </si>
  <si>
    <t>Common areas</t>
  </si>
  <si>
    <t>Front yard</t>
  </si>
  <si>
    <t>Rear yard</t>
  </si>
  <si>
    <t>Façade</t>
  </si>
  <si>
    <t>Roof</t>
  </si>
  <si>
    <t>gal</t>
  </si>
  <si>
    <t>Mlbs</t>
  </si>
  <si>
    <t>Therms</t>
  </si>
  <si>
    <t>kWh</t>
  </si>
  <si>
    <t>years</t>
  </si>
  <si>
    <t>Totals</t>
  </si>
  <si>
    <t>2024 - 2029</t>
  </si>
  <si>
    <t>2030 - 2034</t>
  </si>
  <si>
    <t>$</t>
  </si>
  <si>
    <t>kbtu</t>
  </si>
  <si>
    <t>tCO2e</t>
  </si>
  <si>
    <t>tCO2e/sf</t>
  </si>
  <si>
    <t>Quantity</t>
  </si>
  <si>
    <t>File name</t>
  </si>
  <si>
    <t>$/unit</t>
  </si>
  <si>
    <t>Conversion Factors</t>
  </si>
  <si>
    <t>therms</t>
  </si>
  <si>
    <t>gallons of #2</t>
  </si>
  <si>
    <t>gallons of #4</t>
  </si>
  <si>
    <t>Mlbs of steam</t>
  </si>
  <si>
    <t>Measure number, name, or description</t>
  </si>
  <si>
    <t>Specify size or capacity of measure or system</t>
  </si>
  <si>
    <t>Specify unit</t>
  </si>
  <si>
    <t>Whole Building</t>
  </si>
  <si>
    <t>In-unit</t>
  </si>
  <si>
    <t>Escalator</t>
  </si>
  <si>
    <t>Annual Energy Savings</t>
  </si>
  <si>
    <t>Annual LL97 Savings</t>
  </si>
  <si>
    <t>Annual Other Savings</t>
  </si>
  <si>
    <t>Total Annual Savings</t>
  </si>
  <si>
    <t>NPV</t>
  </si>
  <si>
    <t>SIR</t>
  </si>
  <si>
    <t>metric tons of CO2e</t>
  </si>
  <si>
    <t>metric tons of CO2e/sf</t>
  </si>
  <si>
    <t>Street Address:</t>
  </si>
  <si>
    <t>City:</t>
  </si>
  <si>
    <t>State:</t>
  </si>
  <si>
    <t>Subject Property</t>
  </si>
  <si>
    <t>Before Project (Baseline)</t>
  </si>
  <si>
    <t>After Project</t>
  </si>
  <si>
    <t>Savings</t>
  </si>
  <si>
    <t>Electricity (kWh)</t>
  </si>
  <si>
    <t>% Savings Over Baseline</t>
  </si>
  <si>
    <t>14 HVAC</t>
  </si>
  <si>
    <t>Install water-source heat pumps</t>
  </si>
  <si>
    <t>$/year</t>
  </si>
  <si>
    <t>Year (from closing)</t>
  </si>
  <si>
    <t>Year (loan term)</t>
  </si>
  <si>
    <t>Please fill out all applicable fields as indicated (white). Grey cells are locked.</t>
  </si>
  <si>
    <t>Eligible Soft Cost</t>
  </si>
  <si>
    <t>Ancillary Measures %</t>
  </si>
  <si>
    <t>Construction Scope Measure</t>
  </si>
  <si>
    <t>Measure Type</t>
  </si>
  <si>
    <t>Location in Building</t>
  </si>
  <si>
    <t>Unit of Capacity</t>
  </si>
  <si>
    <t>Reference to Feasibility Study</t>
  </si>
  <si>
    <t>Unit of Measure</t>
  </si>
  <si>
    <t>Unit Cost</t>
  </si>
  <si>
    <t>Total Cost</t>
  </si>
  <si>
    <t>#2 Fuel Oil</t>
  </si>
  <si>
    <t>#4 Fuel Oil</t>
  </si>
  <si>
    <t>Annual Consumption</t>
  </si>
  <si>
    <t>Utility Blended Rate</t>
  </si>
  <si>
    <t>LL97 Emissions Coefficient</t>
  </si>
  <si>
    <t>Annual Emissions</t>
  </si>
  <si>
    <t>Fuel Type</t>
  </si>
  <si>
    <t>Simple Payback Period</t>
  </si>
  <si>
    <t>Total Projected Energy Savings</t>
  </si>
  <si>
    <t>Projected Energy Cost Savings</t>
  </si>
  <si>
    <t>Other Savings Documentation</t>
  </si>
  <si>
    <t>District Steam</t>
  </si>
  <si>
    <t>2024-2029 Projected Emissions Savings</t>
  </si>
  <si>
    <t>Total Savings</t>
  </si>
  <si>
    <t>Is this Data Weather Normalized? (Y/N)</t>
  </si>
  <si>
    <t>Natural Gas</t>
  </si>
  <si>
    <t>Energy Efficiency Category</t>
  </si>
  <si>
    <t>Reference to measure in Energy Audit</t>
  </si>
  <si>
    <t>Compliance Period</t>
  </si>
  <si>
    <t>Annual Emissions Intensity Limit</t>
  </si>
  <si>
    <t>Annual Building Emissions Limit</t>
  </si>
  <si>
    <t>Square Feet (sf)</t>
  </si>
  <si>
    <t>Penalty Rate for Emissions Greater than Limit</t>
  </si>
  <si>
    <t>Building Emissions Limit</t>
  </si>
  <si>
    <t>Existing Annual Building Emissions Intensity</t>
  </si>
  <si>
    <t>Existing Annual Building Emissions</t>
  </si>
  <si>
    <t>Natural Gas (therms)</t>
  </si>
  <si>
    <t>District Steam (Mlbs)</t>
  </si>
  <si>
    <t>Total Energy (kBtu)</t>
  </si>
  <si>
    <t>Total Energy Cost</t>
  </si>
  <si>
    <t>#2 Fuel Oil (gallons)</t>
  </si>
  <si>
    <t>#4 Fuel Oil (gallons)</t>
  </si>
  <si>
    <t>Projected Annual Savings (energy cost savings and additional financial benefits)</t>
  </si>
  <si>
    <t>Projected Savings Summary after C-PACE Funded Project</t>
  </si>
  <si>
    <t>Summary of Financial Savings Associated with Proposed C-PACE Funded Project</t>
  </si>
  <si>
    <t>Total Eligible C-PACE Costs</t>
  </si>
  <si>
    <t>Total C-PACE Costs included in SIR</t>
  </si>
  <si>
    <t>Choose one
Guidance: When a measure is selected, required user-input fields will appear in white, while fields that are not required will appear in grey.</t>
  </si>
  <si>
    <t>Construction Scope Measure Type</t>
  </si>
  <si>
    <t>Maximum Loan Term (rounded to nearest tenth)</t>
  </si>
  <si>
    <t>Weighted Average Useful Life and Maximum Loan Term (yrs)</t>
  </si>
  <si>
    <r>
      <t xml:space="preserve">Annual Projected Savings
</t>
    </r>
    <r>
      <rPr>
        <i/>
        <sz val="11"/>
        <color theme="1"/>
        <rFont val="Calibri"/>
        <family val="2"/>
        <scheme val="minor"/>
      </rPr>
      <t>Note: renewable energy systems’ electric or thermal generation should  be included as savings</t>
    </r>
  </si>
  <si>
    <r>
      <t>BBL (XX-XXXXX-XXXX)</t>
    </r>
    <r>
      <rPr>
        <vertAlign val="superscript"/>
        <sz val="11"/>
        <rFont val="Calibri"/>
        <family val="2"/>
        <scheme val="minor"/>
      </rPr>
      <t>1</t>
    </r>
    <r>
      <rPr>
        <sz val="11"/>
        <rFont val="Calibri"/>
        <family val="2"/>
        <scheme val="minor"/>
      </rPr>
      <t>:</t>
    </r>
  </si>
  <si>
    <r>
      <t>Ancillary Measure Description</t>
    </r>
    <r>
      <rPr>
        <b/>
        <vertAlign val="superscript"/>
        <sz val="11"/>
        <color theme="1"/>
        <rFont val="Calibri"/>
        <family val="2"/>
        <scheme val="minor"/>
      </rPr>
      <t>2</t>
    </r>
  </si>
  <si>
    <r>
      <t>Eligible Soft Cost Description</t>
    </r>
    <r>
      <rPr>
        <b/>
        <vertAlign val="superscript"/>
        <sz val="11"/>
        <color theme="1"/>
        <rFont val="Calibri"/>
        <family val="2"/>
        <scheme val="minor"/>
      </rPr>
      <t>3</t>
    </r>
  </si>
  <si>
    <r>
      <t>Effective Useful Life</t>
    </r>
    <r>
      <rPr>
        <b/>
        <vertAlign val="superscript"/>
        <sz val="11"/>
        <color theme="1"/>
        <rFont val="Calibri"/>
        <family val="2"/>
        <scheme val="minor"/>
      </rPr>
      <t>4</t>
    </r>
  </si>
  <si>
    <t>https://accelerator.nyc/resources/finance/PACE</t>
  </si>
  <si>
    <t>https://zola.planning.nyc.gov/</t>
  </si>
  <si>
    <t>https://www.nyserda.ny.gov/All-Programs/commercial-property-assessed-clean-energy</t>
  </si>
  <si>
    <t xml:space="preserve">https://www1.nyc.gov/assets/buildings/local_laws/ll97of2019.pdf </t>
  </si>
  <si>
    <t>Summary of Project Costs Associated with Proposed C-PACE Funded Project</t>
  </si>
  <si>
    <t>Please fill out all applicable fields as indicated (white). Grey cells are locked when feasible and should not be edited.</t>
  </si>
  <si>
    <r>
      <rPr>
        <b/>
        <vertAlign val="superscript"/>
        <sz val="11"/>
        <color theme="1"/>
        <rFont val="Calibri"/>
        <family val="2"/>
        <scheme val="minor"/>
      </rPr>
      <t xml:space="preserve">3 </t>
    </r>
    <r>
      <rPr>
        <b/>
        <sz val="11"/>
        <color theme="1"/>
        <rFont val="Calibri"/>
        <family val="2"/>
        <scheme val="minor"/>
      </rPr>
      <t xml:space="preserve">C-PACE ADMIN: </t>
    </r>
    <r>
      <rPr>
        <sz val="11"/>
        <color theme="1"/>
        <rFont val="Calibri"/>
        <family val="2"/>
        <scheme val="minor"/>
      </rPr>
      <t xml:space="preserve"> Eligible Soft Costs may include, but are not limited to NYSERDA recognized energy audits and other pre-development work, such as improvement design work, are stand-alone PACE eligible measures provided that the proposed improvement(s) would comply with the technical standards set forth in these guidelines. As stand-alone PACE eligible measures, energy audits and other pre-development work may only have a finance term which does not exceed five years.
See here for more details:</t>
    </r>
    <r>
      <rPr>
        <b/>
        <sz val="11"/>
        <color theme="1"/>
        <rFont val="Calibri"/>
        <family val="2"/>
        <scheme val="minor"/>
      </rPr>
      <t xml:space="preserve"> </t>
    </r>
  </si>
  <si>
    <t>-</t>
  </si>
  <si>
    <t>Conversion to Btu</t>
  </si>
  <si>
    <t>Ancillary Measure – Energy-Related Health and Safety</t>
  </si>
  <si>
    <t>Ancillary Measure – Required to Implement Energy Improvement</t>
  </si>
  <si>
    <t/>
  </si>
  <si>
    <t>Estimated Construction Completion Year</t>
  </si>
  <si>
    <t>Ancillary Measure Costs – Required to Implement Energy Improvement</t>
  </si>
  <si>
    <t>Total Ancillary Measure Costs – Energy-Related Health and Safety</t>
  </si>
  <si>
    <t xml:space="preserve">Estimated Annual Energy Cost ($) </t>
  </si>
  <si>
    <t xml:space="preserve">Estimated Annual Energy Consumption </t>
  </si>
  <si>
    <t xml:space="preserve">Additional Financial Benefits Quantified </t>
  </si>
  <si>
    <t>NYC Local Law 97 Implications</t>
  </si>
  <si>
    <r>
      <t>Total Eligible C-PACE Costs</t>
    </r>
    <r>
      <rPr>
        <vertAlign val="superscript"/>
        <sz val="11"/>
        <rFont val="Calibri"/>
        <family val="2"/>
        <scheme val="minor"/>
      </rPr>
      <t>2</t>
    </r>
  </si>
  <si>
    <t>Summary Table for Truth In PACE Lending Acknowledgment (TIPLA) Form</t>
  </si>
  <si>
    <t>ESTIMATED ENERGY AND COST SAVINGS</t>
  </si>
  <si>
    <t>Est. Annual Energy Consumption (kBtu)</t>
  </si>
  <si>
    <t>Est. Annual Energy Cost ($)</t>
  </si>
  <si>
    <t>Projected Financial Savings</t>
  </si>
  <si>
    <t>$ Savings</t>
  </si>
  <si>
    <t>From tab 4</t>
  </si>
  <si>
    <t>Prequalified Measure</t>
  </si>
  <si>
    <t>Prequalified Approach: Energy Efficiency Category</t>
  </si>
  <si>
    <t>Prequalified Approach: Energy Efficiency Improvement</t>
  </si>
  <si>
    <r>
      <t>ESPM Property Type</t>
    </r>
    <r>
      <rPr>
        <b/>
        <vertAlign val="superscript"/>
        <sz val="11"/>
        <color theme="1"/>
        <rFont val="Calibri"/>
        <family val="2"/>
        <scheme val="minor"/>
      </rPr>
      <t>3</t>
    </r>
  </si>
  <si>
    <t xml:space="preserve">Adult Education </t>
  </si>
  <si>
    <t xml:space="preserve">Ambulatory Surgical Center </t>
  </si>
  <si>
    <t xml:space="preserve">Automobile Dealership </t>
  </si>
  <si>
    <t xml:space="preserve">Bank Branch </t>
  </si>
  <si>
    <t xml:space="preserve">Bowling Alley </t>
  </si>
  <si>
    <t xml:space="preserve">College/University </t>
  </si>
  <si>
    <t xml:space="preserve">Convenience Store without Gas Station </t>
  </si>
  <si>
    <t xml:space="preserve">Courthouse </t>
  </si>
  <si>
    <t xml:space="preserve">Data Center </t>
  </si>
  <si>
    <t xml:space="preserve">Distribution Center </t>
  </si>
  <si>
    <t xml:space="preserve">Enclosed Mall </t>
  </si>
  <si>
    <t xml:space="preserve">Financial Office </t>
  </si>
  <si>
    <t xml:space="preserve">Fitness Center/Health Club/Gym </t>
  </si>
  <si>
    <t xml:space="preserve">Food Sales </t>
  </si>
  <si>
    <t xml:space="preserve">Food Service </t>
  </si>
  <si>
    <t xml:space="preserve">Hospital (General Medical &amp; Surgical) </t>
  </si>
  <si>
    <t xml:space="preserve">Hotel </t>
  </si>
  <si>
    <t xml:space="preserve">K-12 School </t>
  </si>
  <si>
    <t xml:space="preserve">Laboratory </t>
  </si>
  <si>
    <t xml:space="preserve">Library </t>
  </si>
  <si>
    <t xml:space="preserve">Lifestyle Center </t>
  </si>
  <si>
    <t xml:space="preserve">Mailing Center/Post Office </t>
  </si>
  <si>
    <t xml:space="preserve">Manufacturing/Industrial Plant </t>
  </si>
  <si>
    <t xml:space="preserve">Medical Office </t>
  </si>
  <si>
    <t xml:space="preserve">Movie Theater </t>
  </si>
  <si>
    <t xml:space="preserve">Multifamily Housing </t>
  </si>
  <si>
    <t xml:space="preserve">Museum </t>
  </si>
  <si>
    <t xml:space="preserve">Non-Refrigerated Warehouse </t>
  </si>
  <si>
    <t xml:space="preserve">Office </t>
  </si>
  <si>
    <t xml:space="preserve">Other - Education </t>
  </si>
  <si>
    <t xml:space="preserve">Other - Entertainment/Public Assembly </t>
  </si>
  <si>
    <t xml:space="preserve">Other - Lodging/Residential </t>
  </si>
  <si>
    <t xml:space="preserve">Other - Mall </t>
  </si>
  <si>
    <t xml:space="preserve">Other - Public Services </t>
  </si>
  <si>
    <t xml:space="preserve">Other - Recreation </t>
  </si>
  <si>
    <t xml:space="preserve">Other - Restaurant/Bar </t>
  </si>
  <si>
    <t xml:space="preserve">Other - Services </t>
  </si>
  <si>
    <t xml:space="preserve">Other - Specialty Hospital </t>
  </si>
  <si>
    <t xml:space="preserve">Other - Technology/Science </t>
  </si>
  <si>
    <t xml:space="preserve">Outpatient Rehabilitation/Physical Therapy </t>
  </si>
  <si>
    <t xml:space="preserve">Parking </t>
  </si>
  <si>
    <t xml:space="preserve">Performing Arts </t>
  </si>
  <si>
    <t xml:space="preserve">Personal Services (Health/Beauty, Dry Cleaning, etc.) </t>
  </si>
  <si>
    <t xml:space="preserve">Pre-school/Daycare </t>
  </si>
  <si>
    <t xml:space="preserve">Refrigerated Warehouse </t>
  </si>
  <si>
    <t xml:space="preserve">Repair Services (Vehicle, Shoe, Locksmith, etc.) </t>
  </si>
  <si>
    <t xml:space="preserve">Residence Hall/Dormitory </t>
  </si>
  <si>
    <t xml:space="preserve">Residential Care Facility </t>
  </si>
  <si>
    <t xml:space="preserve">Restaurant </t>
  </si>
  <si>
    <t xml:space="preserve">Retail Store </t>
  </si>
  <si>
    <t xml:space="preserve">Self-Storage Facility </t>
  </si>
  <si>
    <t xml:space="preserve">Senior Care Community </t>
  </si>
  <si>
    <t xml:space="preserve">Social/Meeting Hall </t>
  </si>
  <si>
    <t xml:space="preserve">Strip Mall </t>
  </si>
  <si>
    <t xml:space="preserve">Supermarket/Grocery Store </t>
  </si>
  <si>
    <t xml:space="preserve">Transportation Terminal/Station </t>
  </si>
  <si>
    <t xml:space="preserve">Urgent Care/Clinic/Other Outpatient </t>
  </si>
  <si>
    <t xml:space="preserve">Vocational School </t>
  </si>
  <si>
    <t xml:space="preserve">Wholesale Club/Supercenter </t>
  </si>
  <si>
    <t xml:space="preserve">Worship Facility </t>
  </si>
  <si>
    <t>2035-2039</t>
  </si>
  <si>
    <t>2040 - 2049</t>
  </si>
  <si>
    <r>
      <t>Calculation of Local Law 97 Building Emissions Limits</t>
    </r>
    <r>
      <rPr>
        <b/>
        <vertAlign val="superscript"/>
        <sz val="11"/>
        <color theme="1"/>
        <rFont val="Calibri"/>
        <family val="2"/>
        <scheme val="minor"/>
      </rPr>
      <t>1,2</t>
    </r>
  </si>
  <si>
    <t>Existing Building - Amount in Excess of Limit</t>
  </si>
  <si>
    <t>Existing Building - Projected Annual Penalty</t>
  </si>
  <si>
    <r>
      <t>2035-2039</t>
    </r>
    <r>
      <rPr>
        <b/>
        <vertAlign val="superscript"/>
        <sz val="11"/>
        <color theme="1"/>
        <rFont val="Calibri"/>
        <family val="2"/>
        <scheme val="minor"/>
      </rPr>
      <t>1</t>
    </r>
  </si>
  <si>
    <r>
      <t>Local Law 97 - Summary of Projected Penalty Amounts and Savings</t>
    </r>
    <r>
      <rPr>
        <b/>
        <vertAlign val="superscript"/>
        <sz val="11"/>
        <color theme="1"/>
        <rFont val="Calibri"/>
        <family val="2"/>
        <scheme val="minor"/>
      </rPr>
      <t>1</t>
    </r>
  </si>
  <si>
    <t>2030-2034 Projected Emissions Savings</t>
  </si>
  <si>
    <t>2035-2039 Projected Emissions Savings</t>
  </si>
  <si>
    <t>2040-2049 Projected Emissions Savings</t>
  </si>
  <si>
    <r>
      <t>Other Annual Savings</t>
    </r>
    <r>
      <rPr>
        <b/>
        <vertAlign val="superscript"/>
        <sz val="11"/>
        <color theme="1"/>
        <rFont val="Calibri"/>
        <family val="2"/>
        <scheme val="minor"/>
      </rPr>
      <t>2</t>
    </r>
  </si>
  <si>
    <r>
      <rPr>
        <b/>
        <vertAlign val="superscript"/>
        <sz val="11"/>
        <color theme="1"/>
        <rFont val="Calibri"/>
        <family val="2"/>
        <scheme val="minor"/>
      </rPr>
      <t>2</t>
    </r>
    <r>
      <rPr>
        <b/>
        <sz val="11"/>
        <color theme="1"/>
        <rFont val="Calibri"/>
        <family val="2"/>
        <scheme val="minor"/>
      </rPr>
      <t xml:space="preserve"> C-PACE ADMIN:</t>
    </r>
    <r>
      <rPr>
        <sz val="11"/>
        <color theme="1"/>
        <rFont val="Calibri"/>
        <family val="2"/>
        <scheme val="minor"/>
      </rPr>
      <t xml:space="preserve"> Please refer to the NYSERDA Guidance for Calculating the Cost Benefit Ratio (CBR) on eligible savings that can be included in the Other Annual Savings.</t>
    </r>
  </si>
  <si>
    <t>https://www.energystar.gov/buildings/benchmark/understand_metrics/property_types</t>
  </si>
  <si>
    <t>Updated Building - Amount in Excess of Limit</t>
  </si>
  <si>
    <t>Existing Building</t>
  </si>
  <si>
    <t>Updated Building Annual Building Emissions</t>
  </si>
  <si>
    <t>Updated Building (estimated, post retrofit)</t>
  </si>
  <si>
    <r>
      <rPr>
        <b/>
        <vertAlign val="superscript"/>
        <sz val="11"/>
        <color theme="1"/>
        <rFont val="Calibri"/>
        <family val="2"/>
        <scheme val="minor"/>
      </rPr>
      <t>3</t>
    </r>
    <r>
      <rPr>
        <b/>
        <sz val="11"/>
        <color theme="1"/>
        <rFont val="Calibri"/>
        <family val="2"/>
        <scheme val="minor"/>
      </rPr>
      <t xml:space="preserve"> C-PACE ADMIN:</t>
    </r>
    <r>
      <rPr>
        <sz val="11"/>
        <color theme="1"/>
        <rFont val="Calibri"/>
        <family val="2"/>
        <scheme val="minor"/>
      </rPr>
      <t xml:space="preserve"> Energy Star Portfolio Manager property types:</t>
    </r>
  </si>
  <si>
    <r>
      <rPr>
        <b/>
        <vertAlign val="superscript"/>
        <sz val="11"/>
        <rFont val="Calibri"/>
        <family val="2"/>
        <scheme val="minor"/>
      </rPr>
      <t xml:space="preserve">2 </t>
    </r>
    <r>
      <rPr>
        <b/>
        <sz val="11"/>
        <rFont val="Calibri"/>
        <family val="2"/>
        <scheme val="minor"/>
      </rPr>
      <t>C-PACE ADMIN:</t>
    </r>
    <r>
      <rPr>
        <sz val="11"/>
        <rFont val="Calibri"/>
        <family val="2"/>
        <scheme val="minor"/>
      </rPr>
      <t xml:space="preserve"> Per LL97, the term “covered building” means, as it appears in the records of the department of finance, (i) a building that exceeds 25,000 gross square feet or (ii) two or more buildings on the same tax lot that together exceed 50,000 gross square feet (9290 m</t>
    </r>
    <r>
      <rPr>
        <vertAlign val="superscript"/>
        <sz val="11"/>
        <rFont val="Calibri"/>
        <family val="2"/>
        <scheme val="minor"/>
      </rPr>
      <t>2</t>
    </r>
    <r>
      <rPr>
        <sz val="11"/>
        <rFont val="Calibri"/>
        <family val="2"/>
        <scheme val="minor"/>
      </rPr>
      <t>), or (iii) two or more buildings held in the condominium form of ownership that are governed by the same board of managers and that together exceed 50,000 gross square feet (9290 m</t>
    </r>
    <r>
      <rPr>
        <vertAlign val="superscript"/>
        <sz val="11"/>
        <rFont val="Calibri"/>
        <family val="2"/>
        <scheme val="minor"/>
      </rPr>
      <t>2</t>
    </r>
    <r>
      <rPr>
        <sz val="11"/>
        <rFont val="Calibri"/>
        <family val="2"/>
        <scheme val="minor"/>
      </rPr>
      <t>)</t>
    </r>
  </si>
  <si>
    <t>Projected Annual Penalty 2024 - 2029</t>
  </si>
  <si>
    <t>Projected Annual Penalty 2030 - 2034</t>
  </si>
  <si>
    <r>
      <t>Projected Annual Penalty 2035-2039</t>
    </r>
    <r>
      <rPr>
        <vertAlign val="superscript"/>
        <sz val="11"/>
        <rFont val="Calibri"/>
        <family val="2"/>
        <scheme val="minor"/>
      </rPr>
      <t>3</t>
    </r>
  </si>
  <si>
    <t>Projected Annual Penalty 2040 - 2049</t>
  </si>
  <si>
    <t>Annual Savings</t>
  </si>
  <si>
    <t>Projected Annual Savings 2024-2029 (including avoided fines under LL97)</t>
  </si>
  <si>
    <t>Projected Annual Savings 2030-2034 (including avoided fines under LL97)</t>
  </si>
  <si>
    <t>Projected Annual Savings 2035-2039 (including avoided fines under LL97)</t>
  </si>
  <si>
    <t>Projected Annual Savings 2040-2049 (including avoided fines under LL97)</t>
  </si>
  <si>
    <t>Projected Annual Savings 2030-2034 (also including avoided fines under LL97)</t>
  </si>
  <si>
    <t>Projected Annual Savings 2035-2039 (also including avoided fines under LL97)</t>
  </si>
  <si>
    <t>Projected Annual Savings 2040-2049 (also including avoided fines under LL97)</t>
  </si>
  <si>
    <r>
      <t xml:space="preserve">Tab calculates SIR. </t>
    </r>
    <r>
      <rPr>
        <b/>
        <u/>
        <sz val="11"/>
        <color theme="1"/>
        <rFont val="Calibri"/>
        <family val="2"/>
        <scheme val="minor"/>
      </rPr>
      <t>All cells are locked.</t>
    </r>
  </si>
  <si>
    <r>
      <rPr>
        <b/>
        <vertAlign val="superscript"/>
        <sz val="11"/>
        <color theme="1"/>
        <rFont val="Calibri"/>
        <family val="2"/>
        <scheme val="minor"/>
      </rPr>
      <t>1</t>
    </r>
    <r>
      <rPr>
        <b/>
        <sz val="11"/>
        <color theme="1"/>
        <rFont val="Calibri"/>
        <family val="2"/>
        <scheme val="minor"/>
      </rPr>
      <t xml:space="preserve"> C-PACE ADMIN: </t>
    </r>
    <r>
      <rPr>
        <sz val="11"/>
        <color theme="1"/>
        <rFont val="Calibri"/>
        <family val="2"/>
        <scheme val="minor"/>
      </rPr>
      <t xml:space="preserve">Please refer to the PACE Program Guidelines and Technical Guidance Supplement for more guidance on the completing the Technical Certification Workbook: </t>
    </r>
  </si>
  <si>
    <r>
      <rPr>
        <b/>
        <vertAlign val="superscript"/>
        <sz val="11"/>
        <color theme="1"/>
        <rFont val="Calibri"/>
        <family val="2"/>
        <scheme val="minor"/>
      </rPr>
      <t>2</t>
    </r>
    <r>
      <rPr>
        <sz val="11"/>
        <color theme="1"/>
        <rFont val="Calibri"/>
        <family val="2"/>
        <scheme val="minor"/>
      </rPr>
      <t xml:space="preserve"> </t>
    </r>
    <r>
      <rPr>
        <b/>
        <sz val="11"/>
        <color theme="1"/>
        <rFont val="Calibri"/>
        <family val="2"/>
        <scheme val="minor"/>
      </rPr>
      <t xml:space="preserve">C-PACE ADMIN: </t>
    </r>
    <r>
      <rPr>
        <sz val="11"/>
        <color theme="1"/>
        <rFont val="Calibri"/>
        <family val="2"/>
        <scheme val="minor"/>
      </rPr>
      <t xml:space="preserve"> Ancillary Measures may include, but are not limited to mold mitigation, lead abatement, asbestos removal, flue repairs, repair of gas leaks, ventilation improvements, installation of smoke and carbon monoxide detectors and roof repairs.
See the state guidance document and the NYC program Technical Guidance Supplement for more details:</t>
    </r>
    <r>
      <rPr>
        <b/>
        <sz val="11"/>
        <color theme="1"/>
        <rFont val="Calibri"/>
        <family val="2"/>
        <scheme val="minor"/>
      </rPr>
      <t xml:space="preserve"> </t>
    </r>
  </si>
  <si>
    <t>Totals net of Annual Projected Savings</t>
  </si>
  <si>
    <t>Baseline</t>
  </si>
  <si>
    <t>yes/no</t>
  </si>
  <si>
    <t>Yes</t>
  </si>
  <si>
    <t>No</t>
  </si>
  <si>
    <t>Updated Building - Projected Annual Penalty (incl. savings from prequal. measures)</t>
  </si>
  <si>
    <t>other savings, excl. from prequal measures</t>
  </si>
  <si>
    <t>Zip Code:</t>
  </si>
  <si>
    <t>All cells are locked.</t>
  </si>
  <si>
    <r>
      <t>Projected Annual Savings 2024-2029 (also including avoided fines under LL97)</t>
    </r>
    <r>
      <rPr>
        <vertAlign val="superscript"/>
        <sz val="11"/>
        <color theme="1"/>
        <rFont val="Calibri"/>
        <family val="2"/>
        <scheme val="minor"/>
      </rPr>
      <t>1</t>
    </r>
  </si>
  <si>
    <r>
      <t>Please fill out all applicable fields as indicated (white).</t>
    </r>
    <r>
      <rPr>
        <i/>
        <vertAlign val="superscript"/>
        <sz val="11"/>
        <rFont val="Calibri"/>
        <family val="2"/>
        <scheme val="minor"/>
      </rPr>
      <t>1</t>
    </r>
    <r>
      <rPr>
        <i/>
        <sz val="11"/>
        <rFont val="Calibri"/>
        <family val="2"/>
        <scheme val="minor"/>
      </rPr>
      <t xml:space="preserve"> Grey cells are locked when feasible and should not be edited.</t>
    </r>
  </si>
  <si>
    <t>Total Capacity</t>
  </si>
  <si>
    <t>Number for cost per unit formula</t>
  </si>
  <si>
    <t>Assigned Measure Description</t>
  </si>
  <si>
    <r>
      <t>2040 - 2049</t>
    </r>
    <r>
      <rPr>
        <b/>
        <vertAlign val="superscript"/>
        <sz val="11"/>
        <color theme="1"/>
        <rFont val="Calibri"/>
        <family val="2"/>
        <scheme val="minor"/>
      </rPr>
      <t>1</t>
    </r>
  </si>
  <si>
    <t>tCO2e/kWh or /kbtu</t>
  </si>
  <si>
    <t>Please fill out applicable fields in Column L as indicated (white). Grey cells are locked.</t>
  </si>
  <si>
    <r>
      <t xml:space="preserve">Is this building(s) exempted from Local Law 97 compliance or subject to an alternative compliance pathway? (Y/N) </t>
    </r>
    <r>
      <rPr>
        <b/>
        <vertAlign val="superscript"/>
        <sz val="11"/>
        <color theme="1"/>
        <rFont val="Calibri"/>
        <family val="2"/>
        <scheme val="minor"/>
      </rPr>
      <t>2</t>
    </r>
  </si>
  <si>
    <t>Basement/Cellar</t>
  </si>
  <si>
    <r>
      <rPr>
        <b/>
        <vertAlign val="superscript"/>
        <sz val="11"/>
        <color theme="1"/>
        <rFont val="Calibri"/>
        <family val="2"/>
        <scheme val="minor"/>
      </rPr>
      <t>1</t>
    </r>
    <r>
      <rPr>
        <b/>
        <sz val="11"/>
        <color theme="1"/>
        <rFont val="Calibri"/>
        <family val="2"/>
        <scheme val="minor"/>
      </rPr>
      <t xml:space="preserve"> C-PACE ADMIN:</t>
    </r>
    <r>
      <rPr>
        <sz val="11"/>
        <color theme="1"/>
        <rFont val="Calibri"/>
        <family val="2"/>
        <scheme val="minor"/>
      </rPr>
      <t xml:space="preserve"> Emissions coefficients past the 2030-2034 compliance period will be determined by the City at a later date.</t>
    </r>
  </si>
  <si>
    <r>
      <rPr>
        <b/>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Projected penalties are calculated based on the final rule published by the City on 12/20/22. However, emissions coefficients past the 2030-2034 compliance period will be determined by The City at a later date. Penalties for 2035 and beyond are estimated based on coefficient values the City has already published for the prior compliance period and are highly variable and likely to change. </t>
    </r>
  </si>
  <si>
    <t>Is the retrofit is designed so the building is completely electrified according to local code and regulations?</t>
  </si>
  <si>
    <t>Total Cost of Baseline Improvement</t>
  </si>
  <si>
    <t>Incremental Cost</t>
  </si>
  <si>
    <t>Cost of a minimally code-compliant corresponding Baseline Improvement</t>
  </si>
  <si>
    <t>For energy efficiency measures that qualify for the Incremental Cost Approach, please enter Baseline Cost:</t>
  </si>
  <si>
    <t>Incremental Cost Approach Measure</t>
  </si>
  <si>
    <t>Incremental Cost Approach: Energy Efficiency Category</t>
  </si>
  <si>
    <t>Incremental Cost Approach: Energy Efficiency Improvement</t>
  </si>
  <si>
    <t>Measures on Modified DCAS List That May be Eligible for Incremental Cost Approach</t>
  </si>
  <si>
    <t>04 Building Enclosure</t>
  </si>
  <si>
    <t>Incremental Cost Approach - Incremental Costs</t>
  </si>
  <si>
    <r>
      <t xml:space="preserve">Tab Calculates Social Cost Value factors. </t>
    </r>
    <r>
      <rPr>
        <b/>
        <u/>
        <sz val="11"/>
        <color theme="1"/>
        <rFont val="Calibri"/>
        <family val="2"/>
        <scheme val="minor"/>
      </rPr>
      <t>All cells are locked.</t>
    </r>
  </si>
  <si>
    <t>Social Cost Value from Proposed Project Energy Savings</t>
  </si>
  <si>
    <r>
      <t xml:space="preserve">Social Cost of Electricity Consumption 
</t>
    </r>
    <r>
      <rPr>
        <sz val="11"/>
        <color theme="1"/>
        <rFont val="Calibri"/>
        <family val="2"/>
        <scheme val="minor"/>
      </rPr>
      <t>(2022$ per MWh of downstate electricity consumed)</t>
    </r>
  </si>
  <si>
    <r>
      <t xml:space="preserve">Social Cost of Fuel Consumption 
</t>
    </r>
    <r>
      <rPr>
        <sz val="11"/>
        <color theme="1"/>
        <rFont val="Calibri"/>
        <family val="2"/>
        <scheme val="minor"/>
      </rPr>
      <t>(2022$ per MMBtu consumed)</t>
    </r>
  </si>
  <si>
    <t>Year</t>
  </si>
  <si>
    <t>Electricity Consumed (downstate)</t>
  </si>
  <si>
    <t>Heating Oil - Fossil</t>
  </si>
  <si>
    <t>B5 Heating Oil</t>
  </si>
  <si>
    <t>B10 Heating Oil</t>
  </si>
  <si>
    <t>B20 Heating Oil</t>
  </si>
  <si>
    <t>SUM</t>
  </si>
  <si>
    <t>CALCULATIONS AND DATA SOURCES:</t>
  </si>
  <si>
    <t>Social Cost per Unit of Consumption for Electricity and Fuels</t>
  </si>
  <si>
    <t>Grid Emission Factors for the Downstate Region</t>
  </si>
  <si>
    <t>Social Cost of Carbon</t>
  </si>
  <si>
    <t>Calculations</t>
  </si>
  <si>
    <t>Source: "Projected Emission Factors for
New York State Grid Electricity." NYSERDA, August 2022.</t>
  </si>
  <si>
    <r>
      <t xml:space="preserve">Annual Average of Long-run Marginal Emission Factors, Full Fuel Cycle 
</t>
    </r>
    <r>
      <rPr>
        <sz val="11"/>
        <color theme="1"/>
        <rFont val="Calibri"/>
        <family val="2"/>
        <scheme val="minor"/>
      </rPr>
      <t>(metric tons of each GHG/MWh)</t>
    </r>
  </si>
  <si>
    <r>
      <t xml:space="preserve">U.S. Social Cost of GHG, Adjusted for NYS and Using 2% Discount Rate
</t>
    </r>
    <r>
      <rPr>
        <sz val="11"/>
        <color theme="1"/>
        <rFont val="Calibri"/>
        <family val="2"/>
        <scheme val="minor"/>
      </rPr>
      <t>(2022$ per MT of each GHG)</t>
    </r>
  </si>
  <si>
    <r>
      <t xml:space="preserve">U.S. Social Cost of GHG, Adjusted for NYS and Using 2% Discount Rate
</t>
    </r>
    <r>
      <rPr>
        <sz val="11"/>
        <color theme="1"/>
        <rFont val="Calibri"/>
        <family val="2"/>
        <scheme val="minor"/>
      </rPr>
      <t>(2020$ per MT of each GHG)</t>
    </r>
  </si>
  <si>
    <r>
      <t>Long-run marginal - fuel cycle - CO</t>
    </r>
    <r>
      <rPr>
        <b/>
        <vertAlign val="subscript"/>
        <sz val="11"/>
        <color theme="1"/>
        <rFont val="Calibri"/>
        <family val="2"/>
        <scheme val="minor"/>
      </rPr>
      <t>2</t>
    </r>
  </si>
  <si>
    <r>
      <t>Long-run marginal - fuel cycle - CH</t>
    </r>
    <r>
      <rPr>
        <b/>
        <vertAlign val="subscript"/>
        <sz val="11"/>
        <color theme="1"/>
        <rFont val="Calibri"/>
        <family val="2"/>
        <scheme val="minor"/>
      </rPr>
      <t>4</t>
    </r>
  </si>
  <si>
    <r>
      <t>Long-run marginal - fuel cycle - N</t>
    </r>
    <r>
      <rPr>
        <b/>
        <vertAlign val="subscript"/>
        <sz val="11"/>
        <color theme="1"/>
        <rFont val="Calibri"/>
        <family val="2"/>
        <scheme val="minor"/>
      </rPr>
      <t>2</t>
    </r>
    <r>
      <rPr>
        <b/>
        <sz val="11"/>
        <color theme="1"/>
        <rFont val="Calibri"/>
        <family val="2"/>
        <scheme val="minor"/>
      </rPr>
      <t>O</t>
    </r>
  </si>
  <si>
    <t>CO2</t>
  </si>
  <si>
    <t>CH4</t>
  </si>
  <si>
    <t>N2O</t>
  </si>
  <si>
    <t>Fuel-Specific Fuel Cycle GHG Emission Factors for Common Fuels under Net Biogenic Accounting Convention, for Residential &amp; Commercial Building Sector</t>
  </si>
  <si>
    <t>Source: "Fossil and Biogenic Fule GHG Emission Factors White Paper." NYSERDA, August 2022.</t>
  </si>
  <si>
    <t>Fuel</t>
  </si>
  <si>
    <r>
      <t xml:space="preserve">Emission Factor  under Net Biogenic Accounting Convention
</t>
    </r>
    <r>
      <rPr>
        <sz val="11"/>
        <color theme="1"/>
        <rFont val="Calibri"/>
        <family val="2"/>
        <scheme val="minor"/>
      </rPr>
      <t>(MT / MMBtu)</t>
    </r>
  </si>
  <si>
    <t>NOTE: Using 'net accounting convention' values as recommended in white paper for estimating monetized value of avoided GHGs</t>
  </si>
  <si>
    <t>NOTE: the generalized "heating oil - fossil" is the reported emissions factor for fossil distillate, which encompasses #2 and #4 heating oil. However, the white paper recommends using B5 factors for heating oil in NYC through June 2025, B10 factors from 2025-2030, and B20 factors from 2030 onward to align calculations with local and state requirements. We follow this recommendation.</t>
  </si>
  <si>
    <t>NOTE: Social cost of electricity values adjusted to reflect distribution loss factor, per guidance in NYSERDA's "Projected Emissions Factor.." white paper</t>
  </si>
  <si>
    <t>NOTE: Social cost value from electricity savings is only calculated through 2030; NYSERDA's projected grid emission intensity extends only through 2030 and subsequent year values are uncertain.</t>
  </si>
  <si>
    <t>Annual Social Cost Value</t>
  </si>
  <si>
    <t>Measures on Modified DCAS List That May be Eligible for Prequalified Approach</t>
  </si>
  <si>
    <t xml:space="preserve">Source: "Appendix: Annual Social Cost Estimates" NYS Department of Environmental Conservation, Revised as of 2023. </t>
  </si>
  <si>
    <r>
      <t xml:space="preserve">Social Cost of Carbon </t>
    </r>
    <r>
      <rPr>
        <b/>
        <u/>
        <sz val="11"/>
        <color theme="1"/>
        <rFont val="Calibri"/>
        <family val="2"/>
        <scheme val="minor"/>
      </rPr>
      <t>(infl. Adj.)</t>
    </r>
  </si>
  <si>
    <t>NOTE: NYSERDA's B5, B10, and B20 heating oil emission factors are used to calculate social cost value for #2 and #4 heating oil. This reflects guidance in the related paper to align calculations with state and local requirements that change over time.</t>
  </si>
  <si>
    <t>NOTE: Inflation adjustment uses CPI-U change between Jan 2020 and Jan 2024. Unadjusted values are to the right.</t>
  </si>
  <si>
    <t>Total Savings Included in SIR (includes savings from Prequalified Measures)</t>
  </si>
  <si>
    <t>Annual Projected LL97 Penalties Avoided</t>
  </si>
  <si>
    <t>https://dps.ny.gov/technical-resource-manual-trm</t>
  </si>
  <si>
    <r>
      <rPr>
        <b/>
        <vertAlign val="superscript"/>
        <sz val="11"/>
        <color theme="1"/>
        <rFont val="Calibri"/>
        <family val="2"/>
        <scheme val="minor"/>
      </rPr>
      <t xml:space="preserve">4  </t>
    </r>
    <r>
      <rPr>
        <b/>
        <sz val="11"/>
        <color theme="1"/>
        <rFont val="Calibri"/>
        <family val="2"/>
        <scheme val="minor"/>
      </rPr>
      <t>C-PACE ADMIN:</t>
    </r>
    <r>
      <rPr>
        <vertAlign val="superscript"/>
        <sz val="11"/>
        <color theme="1"/>
        <rFont val="Calibri"/>
        <family val="2"/>
        <scheme val="minor"/>
      </rPr>
      <t xml:space="preserve"> </t>
    </r>
    <r>
      <rPr>
        <sz val="11"/>
        <color theme="1"/>
        <rFont val="Calibri"/>
        <family val="2"/>
        <scheme val="minor"/>
      </rPr>
      <t xml:space="preserve">See New York State Technical Resource Manual (TRM): </t>
    </r>
  </si>
  <si>
    <t>Retrofit Version 4.0 as of August 2024”</t>
  </si>
  <si>
    <r>
      <rPr>
        <b/>
        <sz val="11"/>
        <color theme="1"/>
        <rFont val="Calibri"/>
        <family val="2"/>
        <scheme val="minor"/>
      </rPr>
      <t>C-PACE ADMIN:</t>
    </r>
    <r>
      <rPr>
        <sz val="11"/>
        <color theme="1"/>
        <rFont val="Calibri"/>
        <family val="2"/>
        <scheme val="minor"/>
      </rPr>
      <t xml:space="preserve"> The City of New York and NYCEEC (acting as Program Administrator and Paying Agent) make no representations or warranties with respect to any of the estimates or other information contained in this workbook. </t>
    </r>
  </si>
  <si>
    <r>
      <rPr>
        <b/>
        <vertAlign val="superscript"/>
        <sz val="11"/>
        <rFont val="Calibri"/>
        <family val="2"/>
        <scheme val="minor"/>
      </rPr>
      <t xml:space="preserve">1 </t>
    </r>
    <r>
      <rPr>
        <b/>
        <sz val="11"/>
        <rFont val="Calibri"/>
        <family val="2"/>
        <scheme val="minor"/>
      </rPr>
      <t>C-PACE ADMIN:</t>
    </r>
    <r>
      <rPr>
        <sz val="11"/>
        <rFont val="Calibri"/>
        <family val="2"/>
        <scheme val="minor"/>
      </rPr>
      <t xml:space="preserve"> Search for the BBL on NYC ZOLA by searching by address: </t>
    </r>
  </si>
  <si>
    <r>
      <rPr>
        <b/>
        <vertAlign val="superscript"/>
        <sz val="11"/>
        <color theme="1"/>
        <rFont val="Calibri"/>
        <family val="2"/>
        <scheme val="minor"/>
      </rPr>
      <t>2</t>
    </r>
    <r>
      <rPr>
        <b/>
        <sz val="11"/>
        <color theme="1"/>
        <rFont val="Calibri"/>
        <family val="2"/>
        <scheme val="minor"/>
      </rPr>
      <t xml:space="preserve">C-PACE ADMIN: </t>
    </r>
    <r>
      <rPr>
        <sz val="11"/>
        <color theme="1"/>
        <rFont val="Calibri"/>
        <family val="2"/>
        <scheme val="minor"/>
      </rPr>
      <t xml:space="preserve">Total Eligible C-PACE Costs and Unit Costs only reflect upfront costs (i.e., costs before incentives or tax credits for energy efficiency improvements). </t>
    </r>
  </si>
  <si>
    <r>
      <rPr>
        <b/>
        <vertAlign val="superscript"/>
        <sz val="11"/>
        <color theme="1"/>
        <rFont val="Calibri"/>
        <family val="2"/>
        <scheme val="minor"/>
      </rPr>
      <t>3</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</si>
  <si>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r>
      <rPr>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</si>
</sst>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_);\(#,##0.0\)"/>
    <numFmt numFmtId="167" formatCode="#,##0.000000000_);\(#,##0.000000000\)"/>
    <numFmt numFmtId="168" formatCode="0.0000"/>
    <numFmt numFmtId="169" formatCode="_(* #,##0.0_);_(* \(#,##0.0\);_(* &quot;-&quot;??_);_(@_)"/>
    <numFmt numFmtId="170" formatCode="0.0%"/>
    <numFmt numFmtId="171" formatCode="&quot;$&quot;#,##0.000_);\(&quot;$&quot;#,##0.000\)"/>
    <numFmt numFmtId="172" formatCode="#,##0.000000_);\(#,##0.000000\)"/>
    <numFmt numFmtId="173" formatCode="_(* #,##0.000_);_(* \(#,##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rgb="FF000000"/>
      <name val="Calibri"/>
      <family val="2"/>
      <scheme val="minor"/>
    </font>
    <font>
      <vertAlign val="superscript"/>
      <sz val="11"/>
      <color theme="1"/>
      <name val="Calibri"/>
      <family val="2"/>
      <scheme val="minor"/>
    </font>
    <font>
      <i/>
      <sz val="9"/>
      <color theme="1" tint="0.499984740745262"/>
      <name val="Calibri"/>
      <family val="2"/>
      <scheme val="minor"/>
    </font>
    <font>
      <sz val="9"/>
      <color theme="1" tint="0.499984740745262"/>
      <name val="Calibri"/>
      <family val="2"/>
      <scheme val="minor"/>
    </font>
    <font>
      <i/>
      <sz val="10"/>
      <name val="Calibri"/>
      <family val="2"/>
      <scheme val="minor"/>
    </font>
    <font>
      <sz val="11"/>
      <color rgb="FFFF0000"/>
      <name val="Calibri"/>
      <family val="2"/>
      <scheme val="minor"/>
    </font>
    <font>
      <sz val="9"/>
      <color indexed="81"/>
      <name val="Tahoma"/>
      <family val="2"/>
    </font>
    <font>
      <b/>
      <sz val="9"/>
      <color indexed="81"/>
      <name val="Tahoma"/>
      <family val="2"/>
    </font>
    <font>
      <sz val="8"/>
      <name val="Calibri"/>
      <family val="2"/>
      <scheme val="minor"/>
    </font>
    <font>
      <sz val="11"/>
      <color rgb="FFFF0000"/>
      <name val="Calibri"/>
      <family val="2"/>
    </font>
    <font>
      <u/>
      <sz val="11"/>
      <color theme="10"/>
      <name val="Calibri"/>
      <family val="2"/>
      <scheme val="minor"/>
    </font>
    <font>
      <u/>
      <sz val="11"/>
      <color theme="1"/>
      <name val="Calibri"/>
      <family val="2"/>
      <scheme val="minor"/>
    </font>
    <font>
      <b/>
      <sz val="11"/>
      <name val="Calibri"/>
      <family val="2"/>
      <scheme val="minor"/>
    </font>
    <font>
      <sz val="11"/>
      <color theme="0" tint="-0.34998626667073579"/>
      <name val="Calibri"/>
      <family val="2"/>
      <scheme val="minor"/>
    </font>
    <font>
      <u val="singleAccounting"/>
      <sz val="11"/>
      <color theme="1"/>
      <name val="Calibri"/>
      <family val="2"/>
      <scheme val="minor"/>
    </font>
    <font>
      <i/>
      <sz val="11"/>
      <color theme="1"/>
      <name val="Calibri"/>
      <family val="2"/>
      <scheme val="minor"/>
    </font>
    <font>
      <b/>
      <i/>
      <sz val="10"/>
      <color theme="1"/>
      <name val="Calibri"/>
      <family val="2"/>
      <scheme val="minor"/>
    </font>
    <font>
      <u/>
      <sz val="11"/>
      <name val="Calibri"/>
      <family val="2"/>
      <scheme val="minor"/>
    </font>
    <font>
      <i/>
      <sz val="14"/>
      <color rgb="FFFF0000"/>
      <name val="Calibri"/>
      <family val="2"/>
      <scheme val="minor"/>
    </font>
    <font>
      <b/>
      <i/>
      <sz val="11"/>
      <color rgb="FFFF0000"/>
      <name val="Calibri"/>
      <family val="2"/>
      <scheme val="minor"/>
    </font>
    <font>
      <i/>
      <sz val="11"/>
      <color rgb="FF00B050"/>
      <name val="Calibri"/>
      <family val="2"/>
      <scheme val="minor"/>
    </font>
    <font>
      <sz val="11"/>
      <color rgb="FF00B050"/>
      <name val="Calibri"/>
      <family val="2"/>
      <scheme val="minor"/>
    </font>
    <font>
      <i/>
      <sz val="11"/>
      <name val="Calibri"/>
      <family val="2"/>
      <scheme val="minor"/>
    </font>
    <font>
      <b/>
      <i/>
      <sz val="10"/>
      <name val="Calibri"/>
      <family val="2"/>
      <scheme val="minor"/>
    </font>
    <font>
      <b/>
      <i/>
      <sz val="14"/>
      <color rgb="FFFF0000"/>
      <name val="Calibri"/>
      <family val="2"/>
      <scheme val="minor"/>
    </font>
    <font>
      <sz val="11"/>
      <color theme="5"/>
      <name val="Calibri"/>
      <family val="2"/>
      <scheme val="minor"/>
    </font>
    <font>
      <b/>
      <sz val="11"/>
      <color theme="4"/>
      <name val="Calibri"/>
      <family val="2"/>
      <scheme val="minor"/>
    </font>
    <font>
      <sz val="11"/>
      <color theme="4"/>
      <name val="Calibri"/>
      <family val="2"/>
      <scheme val="minor"/>
    </font>
    <font>
      <u/>
      <sz val="9"/>
      <color indexed="81"/>
      <name val="Tahoma"/>
      <family val="2"/>
    </font>
    <font>
      <sz val="11"/>
      <color rgb="FFFFC000"/>
      <name val="Calibri"/>
      <family val="2"/>
      <scheme val="minor"/>
    </font>
    <font>
      <b/>
      <vertAlign val="superscript"/>
      <sz val="11"/>
      <color theme="1"/>
      <name val="Calibri"/>
      <family val="2"/>
      <scheme val="minor"/>
    </font>
    <font>
      <b/>
      <vertAlign val="superscript"/>
      <sz val="11"/>
      <name val="Calibri"/>
      <family val="2"/>
      <scheme val="minor"/>
    </font>
    <font>
      <vertAlign val="superscript"/>
      <sz val="11"/>
      <name val="Calibri"/>
      <family val="2"/>
      <scheme val="minor"/>
    </font>
    <font>
      <b/>
      <sz val="11"/>
      <color indexed="81"/>
      <name val="Tahoma"/>
      <family val="2"/>
    </font>
    <font>
      <sz val="11"/>
      <color indexed="81"/>
      <name val="Tahoma"/>
      <family val="2"/>
    </font>
    <font>
      <b/>
      <i/>
      <sz val="12"/>
      <color rgb="FF000000"/>
      <name val="Times New Roman"/>
      <family val="1"/>
    </font>
    <font>
      <b/>
      <sz val="12"/>
      <color theme="1"/>
      <name val="Calibri"/>
      <family val="2"/>
      <scheme val="minor"/>
    </font>
    <font>
      <b/>
      <sz val="12"/>
      <name val="Calibri"/>
      <family val="2"/>
      <scheme val="minor"/>
    </font>
    <font>
      <b/>
      <i/>
      <sz val="11"/>
      <color theme="1"/>
      <name val="Calibri"/>
      <family val="2"/>
      <scheme val="minor"/>
    </font>
    <font>
      <b/>
      <i/>
      <sz val="11"/>
      <name val="Calibri"/>
      <family val="2"/>
      <scheme val="minor"/>
    </font>
    <font>
      <b/>
      <u/>
      <sz val="11"/>
      <color theme="1"/>
      <name val="Calibri"/>
      <family val="2"/>
      <scheme val="minor"/>
    </font>
    <font>
      <b/>
      <sz val="11"/>
      <color theme="0"/>
      <name val="Calibri"/>
      <family val="2"/>
      <scheme val="minor"/>
    </font>
    <font>
      <i/>
      <vertAlign val="superscript"/>
      <sz val="11"/>
      <name val="Calibri"/>
      <family val="2"/>
      <scheme val="minor"/>
    </font>
    <font>
      <b/>
      <vertAlign val="subscript"/>
      <sz val="11"/>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9" tint="0.39997558519241921"/>
        <bgColor indexed="64"/>
      </patternFill>
    </fill>
    <fill>
      <patternFill patternType="solid">
        <fgColor theme="4"/>
        <bgColor theme="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theme="1" tint="0.249977111117893"/>
      </right>
      <top/>
      <bottom style="thin">
        <color theme="1" tint="0.249977111117893"/>
      </bottom>
      <diagonal/>
    </border>
    <border>
      <left style="medium">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diagonal/>
    </border>
    <border>
      <left style="thin">
        <color theme="1" tint="0.249977111117893"/>
      </left>
      <right style="thin">
        <color theme="1" tint="0.249977111117893"/>
      </right>
      <top/>
      <bottom/>
      <diagonal/>
    </border>
    <border>
      <left style="thin">
        <color theme="1" tint="0.249977111117893"/>
      </left>
      <right style="medium">
        <color theme="1" tint="0.249977111117893"/>
      </right>
      <top/>
      <bottom/>
      <diagonal/>
    </border>
    <border>
      <left style="thin">
        <color theme="1" tint="0.249977111117893"/>
      </left>
      <right/>
      <top style="medium">
        <color theme="1" tint="0.249977111117893"/>
      </top>
      <bottom style="medium">
        <color theme="1" tint="0.249977111117893"/>
      </bottom>
      <diagonal/>
    </border>
    <border>
      <left style="thin">
        <color theme="1" tint="0.249977111117893"/>
      </left>
      <right/>
      <top/>
      <bottom style="thin">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medium">
        <color theme="1" tint="0.249977111117893"/>
      </left>
      <right/>
      <top style="medium">
        <color theme="1" tint="0.249977111117893"/>
      </top>
      <bottom style="medium">
        <color theme="1" tint="0.249977111117893"/>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style="thin">
        <color indexed="64"/>
      </left>
      <right style="thin">
        <color indexed="64"/>
      </right>
      <top/>
      <bottom/>
      <diagonal/>
    </border>
    <border>
      <left style="thin">
        <color theme="1" tint="0.249977111117893"/>
      </left>
      <right style="medium">
        <color theme="1" tint="0.249977111117893"/>
      </right>
      <top style="thin">
        <color theme="1" tint="0.249977111117893"/>
      </top>
      <bottom/>
      <diagonal/>
    </border>
    <border>
      <left/>
      <right style="medium">
        <color indexed="64"/>
      </right>
      <top/>
      <bottom style="medium">
        <color indexed="64"/>
      </bottom>
      <diagonal/>
    </border>
    <border>
      <left/>
      <right style="thin">
        <color theme="1" tint="0.249977111117893"/>
      </right>
      <top style="medium">
        <color indexed="64"/>
      </top>
      <bottom/>
      <diagonal/>
    </border>
    <border>
      <left style="thin">
        <color theme="1" tint="0.249977111117893"/>
      </left>
      <right/>
      <top style="medium">
        <color indexed="64"/>
      </top>
      <bottom/>
      <diagonal/>
    </border>
    <border>
      <left style="thin">
        <color theme="1" tint="0.249977111117893"/>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20">
    <xf numFmtId="0" fontId="0" fillId="0" borderId="0" xfId="0"/>
    <xf numFmtId="0" fontId="2" fillId="0" borderId="0" xfId="0" applyFont="1"/>
    <xf numFmtId="49" fontId="4" fillId="0" borderId="0" xfId="0" applyNumberFormat="1" applyFont="1" applyAlignment="1">
      <alignment horizontal="left"/>
    </xf>
    <xf numFmtId="0" fontId="5" fillId="0" borderId="0" xfId="0" applyFont="1"/>
    <xf numFmtId="0" fontId="5" fillId="0" borderId="0" xfId="0" applyFont="1" applyAlignment="1">
      <alignment vertical="center"/>
    </xf>
    <xf numFmtId="0" fontId="5" fillId="0" borderId="11" xfId="0" applyFont="1" applyBorder="1"/>
    <xf numFmtId="0" fontId="2" fillId="0" borderId="21" xfId="0" applyFont="1" applyBorder="1"/>
    <xf numFmtId="0" fontId="10" fillId="0" borderId="0" xfId="0" applyFont="1"/>
    <xf numFmtId="165" fontId="0" fillId="0" borderId="0" xfId="1" applyNumberFormat="1" applyFont="1"/>
    <xf numFmtId="37" fontId="0" fillId="2" borderId="1" xfId="0" applyNumberFormat="1" applyFill="1" applyBorder="1" applyAlignment="1">
      <alignment horizontal="center"/>
    </xf>
    <xf numFmtId="37" fontId="0" fillId="0" borderId="0" xfId="0" applyNumberFormat="1" applyAlignment="1">
      <alignment horizontal="right"/>
    </xf>
    <xf numFmtId="0" fontId="2" fillId="0" borderId="0" xfId="0" applyFont="1" applyAlignment="1">
      <alignment horizontal="center"/>
    </xf>
    <xf numFmtId="164" fontId="0" fillId="4" borderId="0" xfId="2" applyNumberFormat="1" applyFont="1" applyFill="1" applyBorder="1"/>
    <xf numFmtId="0" fontId="16" fillId="0" borderId="0" xfId="0" applyFont="1"/>
    <xf numFmtId="0" fontId="20" fillId="0" borderId="0" xfId="0" applyFont="1"/>
    <xf numFmtId="0" fontId="17" fillId="0" borderId="0" xfId="0" applyFont="1" applyAlignment="1">
      <alignment vertical="center"/>
    </xf>
    <xf numFmtId="0" fontId="4" fillId="0" borderId="0" xfId="0" applyFont="1"/>
    <xf numFmtId="37" fontId="0" fillId="0" borderId="1" xfId="0" applyNumberFormat="1"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39" fontId="0" fillId="0" borderId="11" xfId="0" applyNumberFormat="1" applyBorder="1" applyProtection="1">
      <protection locked="0"/>
    </xf>
    <xf numFmtId="0" fontId="0" fillId="0" borderId="2" xfId="0" applyBorder="1" applyProtection="1">
      <protection locked="0"/>
    </xf>
    <xf numFmtId="0" fontId="0" fillId="0" borderId="1" xfId="0" applyBorder="1" applyProtection="1">
      <protection locked="0"/>
    </xf>
    <xf numFmtId="39"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39" fontId="0" fillId="0" borderId="10" xfId="0" applyNumberFormat="1" applyBorder="1" applyProtection="1">
      <protection locked="0"/>
    </xf>
    <xf numFmtId="0" fontId="23" fillId="0" borderId="0" xfId="0" applyFont="1"/>
    <xf numFmtId="0" fontId="25" fillId="0" borderId="0" xfId="0" applyFont="1"/>
    <xf numFmtId="0" fontId="26" fillId="0" borderId="0" xfId="0" applyFont="1"/>
    <xf numFmtId="0" fontId="27" fillId="0" borderId="0" xfId="0" applyFont="1"/>
    <xf numFmtId="1" fontId="0" fillId="0" borderId="3" xfId="1" applyNumberFormat="1" applyFont="1" applyBorder="1" applyProtection="1">
      <protection locked="0"/>
    </xf>
    <xf numFmtId="1" fontId="0" fillId="0" borderId="29" xfId="1" applyNumberFormat="1" applyFont="1" applyBorder="1" applyProtection="1">
      <protection locked="0"/>
    </xf>
    <xf numFmtId="44" fontId="0" fillId="0" borderId="10" xfId="1" applyNumberFormat="1" applyFont="1" applyBorder="1" applyProtection="1">
      <protection locked="0"/>
    </xf>
    <xf numFmtId="44" fontId="0" fillId="0" borderId="3" xfId="2" applyFont="1" applyFill="1" applyBorder="1" applyAlignment="1" applyProtection="1">
      <alignment wrapText="1"/>
      <protection locked="0"/>
    </xf>
    <xf numFmtId="165" fontId="0" fillId="0" borderId="1" xfId="1" applyNumberFormat="1" applyFont="1" applyFill="1" applyBorder="1" applyAlignment="1" applyProtection="1">
      <alignment wrapText="1"/>
      <protection locked="0"/>
    </xf>
    <xf numFmtId="165" fontId="0" fillId="0" borderId="11" xfId="1" applyNumberFormat="1" applyFont="1" applyFill="1" applyBorder="1" applyAlignment="1" applyProtection="1">
      <alignment wrapText="1"/>
      <protection locked="0"/>
    </xf>
    <xf numFmtId="0" fontId="29" fillId="0" borderId="0" xfId="0" applyFont="1"/>
    <xf numFmtId="0" fontId="0" fillId="0" borderId="77" xfId="0" applyBorder="1" applyProtection="1">
      <protection locked="0"/>
    </xf>
    <xf numFmtId="0" fontId="30" fillId="0" borderId="0" xfId="0" applyFont="1"/>
    <xf numFmtId="37" fontId="4" fillId="2" borderId="38" xfId="0" applyNumberFormat="1" applyFont="1" applyFill="1" applyBorder="1" applyAlignment="1">
      <alignment horizontal="left"/>
    </xf>
    <xf numFmtId="37" fontId="4" fillId="2" borderId="53" xfId="0" applyNumberFormat="1" applyFont="1" applyFill="1" applyBorder="1" applyAlignment="1">
      <alignment horizontal="left"/>
    </xf>
    <xf numFmtId="37" fontId="4" fillId="2" borderId="47" xfId="0" applyNumberFormat="1" applyFont="1" applyFill="1" applyBorder="1" applyAlignment="1">
      <alignment horizontal="left"/>
    </xf>
    <xf numFmtId="37" fontId="4" fillId="2" borderId="79" xfId="0" applyNumberFormat="1" applyFont="1" applyFill="1" applyBorder="1" applyAlignment="1">
      <alignment horizontal="left"/>
    </xf>
    <xf numFmtId="0" fontId="26" fillId="0" borderId="0" xfId="0" applyFont="1" applyAlignment="1">
      <alignment vertical="center"/>
    </xf>
    <xf numFmtId="0" fontId="4" fillId="3" borderId="81" xfId="0" applyFont="1" applyFill="1" applyBorder="1"/>
    <xf numFmtId="9" fontId="4" fillId="3" borderId="82" xfId="3" applyFont="1" applyFill="1" applyBorder="1" applyAlignment="1">
      <alignment horizontal="left"/>
    </xf>
    <xf numFmtId="5" fontId="17" fillId="3" borderId="1" xfId="0" applyNumberFormat="1" applyFont="1" applyFill="1" applyBorder="1" applyAlignment="1">
      <alignment horizontal="left"/>
    </xf>
    <xf numFmtId="9" fontId="4" fillId="3" borderId="3" xfId="3" applyFont="1" applyFill="1" applyBorder="1" applyAlignment="1">
      <alignment horizontal="left"/>
    </xf>
    <xf numFmtId="9" fontId="4" fillId="3" borderId="5" xfId="3" applyFont="1" applyFill="1" applyBorder="1" applyAlignment="1">
      <alignment horizontal="left"/>
    </xf>
    <xf numFmtId="0" fontId="27" fillId="0" borderId="0" xfId="0" quotePrefix="1" applyFont="1"/>
    <xf numFmtId="37" fontId="0" fillId="0" borderId="9" xfId="0" applyNumberFormat="1" applyBorder="1" applyAlignment="1" applyProtection="1">
      <alignment horizontal="center"/>
      <protection locked="0"/>
    </xf>
    <xf numFmtId="1" fontId="0" fillId="0" borderId="85" xfId="0" applyNumberFormat="1" applyBorder="1" applyAlignment="1" applyProtection="1">
      <alignment horizontal="right"/>
      <protection locked="0"/>
    </xf>
    <xf numFmtId="44" fontId="0" fillId="0" borderId="1" xfId="1" applyNumberFormat="1" applyFont="1" applyBorder="1" applyProtection="1">
      <protection locked="0"/>
    </xf>
    <xf numFmtId="165" fontId="0" fillId="0" borderId="77" xfId="1" applyNumberFormat="1" applyFont="1" applyFill="1" applyBorder="1" applyAlignment="1" applyProtection="1">
      <alignment wrapText="1"/>
      <protection locked="0"/>
    </xf>
    <xf numFmtId="0" fontId="0" fillId="0" borderId="0" xfId="0" applyAlignment="1">
      <alignment vertical="center"/>
    </xf>
    <xf numFmtId="0" fontId="0" fillId="0" borderId="43" xfId="0" applyBorder="1" applyProtection="1">
      <protection locked="0"/>
    </xf>
    <xf numFmtId="0" fontId="0" fillId="0" borderId="48" xfId="0" applyBorder="1" applyProtection="1">
      <protection locked="0"/>
    </xf>
    <xf numFmtId="0" fontId="0" fillId="0" borderId="87" xfId="0" applyBorder="1" applyProtection="1">
      <protection locked="0"/>
    </xf>
    <xf numFmtId="0" fontId="0" fillId="0" borderId="51" xfId="0" applyBorder="1" applyProtection="1">
      <protection locked="0"/>
    </xf>
    <xf numFmtId="0" fontId="0" fillId="0" borderId="27" xfId="0" applyBorder="1" applyProtection="1">
      <protection locked="0"/>
    </xf>
    <xf numFmtId="39" fontId="0" fillId="0" borderId="51" xfId="0" applyNumberFormat="1" applyBorder="1" applyProtection="1">
      <protection locked="0"/>
    </xf>
    <xf numFmtId="44" fontId="0" fillId="0" borderId="27" xfId="1" applyNumberFormat="1" applyFont="1" applyBorder="1" applyProtection="1">
      <protection locked="0"/>
    </xf>
    <xf numFmtId="1" fontId="0" fillId="0" borderId="19" xfId="1" applyNumberFormat="1" applyFont="1" applyBorder="1" applyProtection="1">
      <protection locked="0"/>
    </xf>
    <xf numFmtId="0" fontId="0" fillId="0" borderId="31" xfId="0" applyBorder="1"/>
    <xf numFmtId="165" fontId="0" fillId="0" borderId="10" xfId="1" applyNumberFormat="1" applyFont="1" applyFill="1" applyBorder="1" applyAlignment="1" applyProtection="1">
      <alignment wrapText="1"/>
      <protection locked="0"/>
    </xf>
    <xf numFmtId="44" fontId="0" fillId="0" borderId="29" xfId="2" applyFont="1" applyFill="1" applyBorder="1" applyAlignment="1" applyProtection="1">
      <alignment wrapText="1"/>
      <protection locked="0"/>
    </xf>
    <xf numFmtId="0" fontId="4" fillId="7" borderId="59" xfId="0" applyFont="1" applyFill="1" applyBorder="1" applyAlignment="1">
      <alignment horizontal="right" indent="1"/>
    </xf>
    <xf numFmtId="0" fontId="4" fillId="7" borderId="57" xfId="0" applyFont="1" applyFill="1" applyBorder="1" applyAlignment="1">
      <alignment horizontal="right" indent="1"/>
    </xf>
    <xf numFmtId="0" fontId="4" fillId="7" borderId="65" xfId="0" applyFont="1" applyFill="1" applyBorder="1" applyAlignment="1">
      <alignment horizontal="right" indent="1"/>
    </xf>
    <xf numFmtId="0" fontId="4" fillId="7" borderId="6" xfId="0" applyFont="1" applyFill="1" applyBorder="1"/>
    <xf numFmtId="164" fontId="4" fillId="7" borderId="51" xfId="2" applyNumberFormat="1" applyFont="1" applyFill="1" applyBorder="1" applyAlignment="1">
      <alignment horizontal="left"/>
    </xf>
    <xf numFmtId="0" fontId="4" fillId="7" borderId="8" xfId="0" applyFont="1" applyFill="1" applyBorder="1"/>
    <xf numFmtId="164" fontId="4" fillId="7" borderId="4" xfId="2" applyNumberFormat="1" applyFont="1" applyFill="1" applyBorder="1" applyAlignment="1">
      <alignment horizontal="left"/>
    </xf>
    <xf numFmtId="0" fontId="4" fillId="7" borderId="59" xfId="0" applyFont="1" applyFill="1" applyBorder="1"/>
    <xf numFmtId="0" fontId="22" fillId="7" borderId="60" xfId="0" applyFont="1" applyFill="1" applyBorder="1" applyAlignment="1">
      <alignment horizontal="center"/>
    </xf>
    <xf numFmtId="0" fontId="22" fillId="7" borderId="71" xfId="0" applyFont="1" applyFill="1" applyBorder="1" applyAlignment="1">
      <alignment horizontal="center"/>
    </xf>
    <xf numFmtId="0" fontId="22" fillId="7" borderId="61" xfId="0" applyFont="1" applyFill="1" applyBorder="1" applyAlignment="1">
      <alignment horizontal="center"/>
    </xf>
    <xf numFmtId="0" fontId="4" fillId="7" borderId="57" xfId="0" applyFont="1" applyFill="1" applyBorder="1"/>
    <xf numFmtId="0" fontId="4" fillId="7" borderId="55" xfId="0" applyFont="1" applyFill="1" applyBorder="1"/>
    <xf numFmtId="0" fontId="4" fillId="7" borderId="56" xfId="0" applyFont="1" applyFill="1" applyBorder="1"/>
    <xf numFmtId="0" fontId="4" fillId="7" borderId="58" xfId="0" applyFont="1" applyFill="1" applyBorder="1"/>
    <xf numFmtId="0" fontId="4" fillId="7" borderId="57" xfId="0" applyFont="1" applyFill="1" applyBorder="1" applyAlignment="1">
      <alignment horizontal="left" indent="1"/>
    </xf>
    <xf numFmtId="37" fontId="4" fillId="7" borderId="55" xfId="0" applyNumberFormat="1" applyFont="1" applyFill="1" applyBorder="1" applyAlignment="1">
      <alignment horizontal="left"/>
    </xf>
    <xf numFmtId="37" fontId="4" fillId="7" borderId="56" xfId="0" applyNumberFormat="1" applyFont="1" applyFill="1" applyBorder="1" applyAlignment="1">
      <alignment horizontal="left"/>
    </xf>
    <xf numFmtId="9" fontId="4" fillId="7" borderId="58" xfId="3" applyFont="1" applyFill="1" applyBorder="1" applyAlignment="1">
      <alignment horizontal="left"/>
    </xf>
    <xf numFmtId="0" fontId="4" fillId="7" borderId="65" xfId="0" applyFont="1" applyFill="1" applyBorder="1" applyAlignment="1">
      <alignment horizontal="left" indent="1"/>
    </xf>
    <xf numFmtId="37" fontId="4" fillId="7" borderId="72" xfId="0" applyNumberFormat="1" applyFont="1" applyFill="1" applyBorder="1" applyAlignment="1">
      <alignment horizontal="left"/>
    </xf>
    <xf numFmtId="0" fontId="4" fillId="7" borderId="62" xfId="0" applyFont="1" applyFill="1" applyBorder="1" applyAlignment="1">
      <alignment horizontal="left" indent="1"/>
    </xf>
    <xf numFmtId="37" fontId="4" fillId="7" borderId="63" xfId="0" applyNumberFormat="1" applyFont="1" applyFill="1" applyBorder="1" applyAlignment="1">
      <alignment horizontal="left"/>
    </xf>
    <xf numFmtId="37" fontId="4" fillId="7" borderId="70" xfId="0" applyNumberFormat="1" applyFont="1" applyFill="1" applyBorder="1" applyAlignment="1">
      <alignment horizontal="left"/>
    </xf>
    <xf numFmtId="9" fontId="4" fillId="7" borderId="64" xfId="3" applyFont="1" applyFill="1" applyBorder="1" applyAlignment="1">
      <alignment horizontal="left"/>
    </xf>
    <xf numFmtId="0" fontId="4" fillId="7" borderId="60" xfId="0" applyFont="1" applyFill="1" applyBorder="1"/>
    <xf numFmtId="0" fontId="4" fillId="7" borderId="71" xfId="0" applyFont="1" applyFill="1" applyBorder="1"/>
    <xf numFmtId="9" fontId="4" fillId="7" borderId="61" xfId="3" applyFont="1" applyFill="1" applyBorder="1" applyAlignment="1">
      <alignment horizontal="left"/>
    </xf>
    <xf numFmtId="5" fontId="4" fillId="7" borderId="55" xfId="0" applyNumberFormat="1" applyFont="1" applyFill="1" applyBorder="1" applyAlignment="1">
      <alignment horizontal="left"/>
    </xf>
    <xf numFmtId="5" fontId="4" fillId="7" borderId="56" xfId="0" applyNumberFormat="1" applyFont="1" applyFill="1" applyBorder="1" applyAlignment="1">
      <alignment horizontal="left"/>
    </xf>
    <xf numFmtId="5" fontId="4" fillId="7" borderId="66" xfId="0" applyNumberFormat="1" applyFont="1" applyFill="1" applyBorder="1" applyAlignment="1">
      <alignment horizontal="left"/>
    </xf>
    <xf numFmtId="5" fontId="4" fillId="7" borderId="72" xfId="0" applyNumberFormat="1" applyFont="1" applyFill="1" applyBorder="1" applyAlignment="1">
      <alignment horizontal="left"/>
    </xf>
    <xf numFmtId="5" fontId="4" fillId="7" borderId="63" xfId="0" applyNumberFormat="1" applyFont="1" applyFill="1" applyBorder="1" applyAlignment="1">
      <alignment horizontal="left"/>
    </xf>
    <xf numFmtId="5" fontId="4" fillId="7" borderId="70" xfId="0" applyNumberFormat="1" applyFont="1" applyFill="1" applyBorder="1" applyAlignment="1">
      <alignment horizontal="left"/>
    </xf>
    <xf numFmtId="0" fontId="4" fillId="7" borderId="67" xfId="0" applyFont="1" applyFill="1" applyBorder="1"/>
    <xf numFmtId="0" fontId="4" fillId="7" borderId="68" xfId="0" applyFont="1" applyFill="1" applyBorder="1"/>
    <xf numFmtId="0" fontId="4" fillId="7" borderId="73" xfId="0" applyFont="1" applyFill="1" applyBorder="1"/>
    <xf numFmtId="9" fontId="4" fillId="7" borderId="69" xfId="3" applyFont="1" applyFill="1" applyBorder="1" applyAlignment="1">
      <alignment horizontal="left"/>
    </xf>
    <xf numFmtId="0" fontId="4" fillId="7" borderId="62" xfId="0" applyFont="1" applyFill="1" applyBorder="1"/>
    <xf numFmtId="0" fontId="4" fillId="7" borderId="63" xfId="0" applyFont="1" applyFill="1" applyBorder="1"/>
    <xf numFmtId="0" fontId="4" fillId="7" borderId="70" xfId="0" applyFont="1" applyFill="1" applyBorder="1"/>
    <xf numFmtId="44" fontId="4" fillId="7" borderId="70" xfId="0" applyNumberFormat="1" applyFont="1" applyFill="1" applyBorder="1" applyAlignment="1">
      <alignment horizontal="left"/>
    </xf>
    <xf numFmtId="0" fontId="4" fillId="7" borderId="51" xfId="0" applyFont="1" applyFill="1" applyBorder="1"/>
    <xf numFmtId="9" fontId="4" fillId="7" borderId="19" xfId="3" applyFont="1" applyFill="1" applyBorder="1" applyAlignment="1">
      <alignment horizontal="center"/>
    </xf>
    <xf numFmtId="44" fontId="0" fillId="7" borderId="4" xfId="1" applyNumberFormat="1" applyFont="1" applyFill="1" applyBorder="1" applyProtection="1"/>
    <xf numFmtId="1" fontId="0" fillId="7" borderId="5" xfId="1" quotePrefix="1" applyNumberFormat="1" applyFont="1" applyFill="1" applyBorder="1" applyAlignment="1" applyProtection="1">
      <alignment horizontal="center"/>
    </xf>
    <xf numFmtId="0" fontId="0" fillId="0" borderId="0" xfId="0" quotePrefix="1"/>
    <xf numFmtId="0" fontId="0" fillId="4" borderId="37" xfId="0" applyFill="1" applyBorder="1"/>
    <xf numFmtId="0" fontId="0" fillId="4" borderId="38" xfId="0" applyFill="1" applyBorder="1"/>
    <xf numFmtId="37" fontId="4" fillId="4" borderId="38" xfId="0" applyNumberFormat="1" applyFont="1" applyFill="1" applyBorder="1"/>
    <xf numFmtId="0" fontId="0" fillId="4" borderId="53" xfId="0" applyFill="1" applyBorder="1"/>
    <xf numFmtId="0" fontId="0" fillId="4" borderId="52" xfId="0" applyFill="1" applyBorder="1"/>
    <xf numFmtId="1" fontId="0" fillId="4" borderId="54" xfId="0" applyNumberFormat="1" applyFill="1" applyBorder="1" applyAlignment="1">
      <alignment horizontal="center"/>
    </xf>
    <xf numFmtId="0" fontId="0" fillId="4" borderId="54" xfId="0" applyFill="1" applyBorder="1" applyAlignment="1">
      <alignment horizontal="center"/>
    </xf>
    <xf numFmtId="0" fontId="18" fillId="4" borderId="52" xfId="0" applyFont="1" applyFill="1" applyBorder="1"/>
    <xf numFmtId="9" fontId="18" fillId="4" borderId="54" xfId="0" applyNumberFormat="1" applyFont="1" applyFill="1" applyBorder="1" applyAlignment="1">
      <alignment horizontal="center"/>
    </xf>
    <xf numFmtId="0" fontId="0" fillId="4" borderId="54" xfId="0" applyFill="1" applyBorder="1"/>
    <xf numFmtId="164" fontId="0" fillId="4" borderId="54" xfId="0" applyNumberFormat="1" applyFill="1" applyBorder="1"/>
    <xf numFmtId="0" fontId="16" fillId="4" borderId="52" xfId="0" applyFont="1" applyFill="1" applyBorder="1"/>
    <xf numFmtId="164" fontId="19" fillId="4" borderId="54" xfId="0" applyNumberFormat="1" applyFont="1" applyFill="1" applyBorder="1"/>
    <xf numFmtId="0" fontId="2" fillId="4" borderId="52" xfId="0" applyFont="1" applyFill="1" applyBorder="1"/>
    <xf numFmtId="0" fontId="0" fillId="4" borderId="52" xfId="0" applyFill="1" applyBorder="1" applyAlignment="1">
      <alignment horizontal="left" indent="1"/>
    </xf>
    <xf numFmtId="0" fontId="2" fillId="5" borderId="52" xfId="0" applyFont="1" applyFill="1" applyBorder="1"/>
    <xf numFmtId="0" fontId="0" fillId="4" borderId="42" xfId="0" applyFill="1" applyBorder="1" applyAlignment="1">
      <alignment horizontal="left" indent="1"/>
    </xf>
    <xf numFmtId="0" fontId="0" fillId="4" borderId="47" xfId="0" applyFill="1" applyBorder="1"/>
    <xf numFmtId="0" fontId="0" fillId="4" borderId="79" xfId="0" applyFill="1" applyBorder="1"/>
    <xf numFmtId="0" fontId="0" fillId="0" borderId="1" xfId="0" applyBorder="1"/>
    <xf numFmtId="0" fontId="0" fillId="9" borderId="1" xfId="0" applyFill="1" applyBorder="1"/>
    <xf numFmtId="0" fontId="22" fillId="9" borderId="1" xfId="0" applyFont="1" applyFill="1" applyBorder="1" applyAlignment="1">
      <alignment horizontal="center"/>
    </xf>
    <xf numFmtId="0" fontId="0" fillId="0" borderId="9"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37" fontId="0" fillId="0" borderId="1" xfId="0" applyNumberFormat="1" applyBorder="1"/>
    <xf numFmtId="9" fontId="0" fillId="0" borderId="1" xfId="0" applyNumberFormat="1" applyBorder="1"/>
    <xf numFmtId="5" fontId="0" fillId="0" borderId="1" xfId="0" applyNumberFormat="1" applyBorder="1"/>
    <xf numFmtId="9" fontId="0" fillId="0" borderId="1" xfId="3" applyFont="1" applyBorder="1"/>
    <xf numFmtId="0" fontId="41" fillId="0" borderId="0" xfId="0" applyFont="1"/>
    <xf numFmtId="0" fontId="15" fillId="0" borderId="0" xfId="4" applyFill="1" applyBorder="1" applyAlignment="1" applyProtection="1">
      <alignment horizontal="left" vertical="center"/>
    </xf>
    <xf numFmtId="0" fontId="42" fillId="7" borderId="89" xfId="0" applyFont="1" applyFill="1" applyBorder="1" applyAlignment="1">
      <alignment horizontal="center" vertical="center"/>
    </xf>
    <xf numFmtId="0" fontId="4" fillId="0" borderId="90" xfId="0" applyFont="1" applyBorder="1"/>
    <xf numFmtId="0" fontId="0" fillId="4" borderId="0" xfId="0" applyFill="1"/>
    <xf numFmtId="1" fontId="0" fillId="4" borderId="0" xfId="0" applyNumberFormat="1" applyFill="1" applyAlignment="1">
      <alignment horizontal="center"/>
    </xf>
    <xf numFmtId="0" fontId="0" fillId="4" borderId="0" xfId="0" applyFill="1" applyAlignment="1">
      <alignment horizontal="center"/>
    </xf>
    <xf numFmtId="0" fontId="18" fillId="4" borderId="0" xfId="0" applyFont="1" applyFill="1"/>
    <xf numFmtId="9" fontId="18" fillId="4" borderId="0" xfId="0" applyNumberFormat="1" applyFont="1" applyFill="1" applyAlignment="1">
      <alignment horizontal="center"/>
    </xf>
    <xf numFmtId="164" fontId="0" fillId="4" borderId="0" xfId="0" applyNumberFormat="1" applyFill="1"/>
    <xf numFmtId="0" fontId="16" fillId="4" borderId="0" xfId="0" applyFont="1" applyFill="1"/>
    <xf numFmtId="164" fontId="19" fillId="4" borderId="0" xfId="0" applyNumberFormat="1" applyFont="1" applyFill="1"/>
    <xf numFmtId="9" fontId="0" fillId="4" borderId="0" xfId="0" applyNumberFormat="1" applyFill="1"/>
    <xf numFmtId="164" fontId="20" fillId="4" borderId="0" xfId="0" applyNumberFormat="1" applyFont="1" applyFill="1"/>
    <xf numFmtId="9" fontId="20" fillId="4" borderId="0" xfId="3" applyFont="1" applyFill="1"/>
    <xf numFmtId="44" fontId="0" fillId="4" borderId="0" xfId="0" applyNumberFormat="1" applyFill="1"/>
    <xf numFmtId="44" fontId="0" fillId="0" borderId="1" xfId="2" applyFont="1" applyFill="1" applyBorder="1" applyAlignment="1" applyProtection="1">
      <alignment wrapText="1"/>
      <protection locked="0"/>
    </xf>
    <xf numFmtId="0" fontId="4" fillId="7" borderId="7" xfId="0" applyFont="1" applyFill="1" applyBorder="1" applyAlignment="1">
      <alignment horizontal="left" indent="1"/>
    </xf>
    <xf numFmtId="5" fontId="4" fillId="7" borderId="1" xfId="0" applyNumberFormat="1" applyFont="1" applyFill="1" applyBorder="1" applyAlignment="1">
      <alignment horizontal="left"/>
    </xf>
    <xf numFmtId="9" fontId="4" fillId="7" borderId="1" xfId="3" applyFont="1" applyFill="1" applyBorder="1" applyAlignment="1">
      <alignment horizontal="left"/>
    </xf>
    <xf numFmtId="9" fontId="4" fillId="3" borderId="29" xfId="3" applyFont="1" applyFill="1" applyBorder="1" applyAlignment="1">
      <alignment horizontal="left"/>
    </xf>
    <xf numFmtId="5" fontId="17" fillId="3" borderId="4" xfId="0" applyNumberFormat="1" applyFont="1" applyFill="1" applyBorder="1" applyAlignment="1">
      <alignment horizontal="left"/>
    </xf>
    <xf numFmtId="170" fontId="0" fillId="4" borderId="0" xfId="0" applyNumberFormat="1" applyFill="1"/>
    <xf numFmtId="37" fontId="0" fillId="0" borderId="11" xfId="0" applyNumberFormat="1" applyBorder="1" applyAlignment="1" applyProtection="1">
      <alignment horizontal="left"/>
      <protection locked="0"/>
    </xf>
    <xf numFmtId="171" fontId="0" fillId="0" borderId="11" xfId="0" applyNumberFormat="1" applyBorder="1" applyAlignment="1" applyProtection="1">
      <alignment horizontal="left"/>
      <protection locked="0"/>
    </xf>
    <xf numFmtId="7" fontId="0" fillId="0" borderId="1" xfId="0" applyNumberFormat="1" applyBorder="1" applyAlignment="1" applyProtection="1">
      <alignment horizontal="left"/>
      <protection locked="0"/>
    </xf>
    <xf numFmtId="37" fontId="0" fillId="0" borderId="10" xfId="0" applyNumberFormat="1" applyBorder="1" applyAlignment="1" applyProtection="1">
      <alignment horizontal="left"/>
      <protection locked="0"/>
    </xf>
    <xf numFmtId="7" fontId="0" fillId="0" borderId="10" xfId="0" applyNumberFormat="1" applyBorder="1" applyAlignment="1" applyProtection="1">
      <alignment horizontal="left"/>
      <protection locked="0"/>
    </xf>
    <xf numFmtId="0" fontId="4" fillId="0" borderId="0" xfId="0" applyFont="1" applyAlignment="1">
      <alignment horizontal="left" vertical="center"/>
    </xf>
    <xf numFmtId="0" fontId="46" fillId="12" borderId="92" xfId="0" applyFont="1" applyFill="1" applyBorder="1"/>
    <xf numFmtId="0" fontId="0" fillId="0" borderId="92" xfId="0" applyBorder="1"/>
    <xf numFmtId="0" fontId="0" fillId="0" borderId="16" xfId="0" applyBorder="1"/>
    <xf numFmtId="0" fontId="0" fillId="0" borderId="35" xfId="0" applyBorder="1" applyProtection="1">
      <protection locked="0"/>
    </xf>
    <xf numFmtId="166" fontId="4" fillId="4" borderId="38" xfId="0" applyNumberFormat="1" applyFont="1" applyFill="1" applyBorder="1" applyAlignment="1">
      <alignment horizontal="center" vertical="center"/>
    </xf>
    <xf numFmtId="2" fontId="0" fillId="0" borderId="11" xfId="0" applyNumberFormat="1" applyBorder="1" applyProtection="1">
      <protection locked="0"/>
    </xf>
    <xf numFmtId="2" fontId="0" fillId="0" borderId="1" xfId="0" applyNumberFormat="1" applyBorder="1" applyProtection="1">
      <protection locked="0"/>
    </xf>
    <xf numFmtId="2" fontId="0" fillId="0" borderId="10" xfId="0" applyNumberFormat="1" applyBorder="1" applyProtection="1">
      <protection locked="0"/>
    </xf>
    <xf numFmtId="44" fontId="0" fillId="7" borderId="4" xfId="1" quotePrefix="1" applyNumberFormat="1" applyFont="1" applyFill="1" applyBorder="1" applyAlignment="1" applyProtection="1">
      <alignment horizontal="center"/>
    </xf>
    <xf numFmtId="164" fontId="2" fillId="4" borderId="0" xfId="0" applyNumberFormat="1" applyFont="1" applyFill="1"/>
    <xf numFmtId="44" fontId="0" fillId="7" borderId="8" xfId="1" applyNumberFormat="1" applyFont="1" applyFill="1" applyBorder="1" applyProtection="1"/>
    <xf numFmtId="44" fontId="0" fillId="7" borderId="5" xfId="1" applyNumberFormat="1" applyFont="1" applyFill="1" applyBorder="1" applyProtection="1"/>
    <xf numFmtId="0" fontId="2" fillId="14" borderId="0" xfId="0" applyFont="1" applyFill="1"/>
    <xf numFmtId="0" fontId="0" fillId="14" borderId="0" xfId="0" applyFill="1"/>
    <xf numFmtId="0" fontId="0" fillId="0" borderId="0" xfId="0" applyAlignment="1">
      <alignment vertical="center" wrapText="1"/>
    </xf>
    <xf numFmtId="0" fontId="2" fillId="1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1" xfId="0" applyBorder="1" applyAlignment="1">
      <alignment horizontal="center"/>
    </xf>
    <xf numFmtId="164" fontId="0" fillId="0" borderId="1" xfId="0" applyNumberFormat="1" applyBorder="1"/>
    <xf numFmtId="164" fontId="0" fillId="0" borderId="1" xfId="0" quotePrefix="1" applyNumberFormat="1" applyBorder="1"/>
    <xf numFmtId="164" fontId="0" fillId="0" borderId="0" xfId="0" applyNumberFormat="1"/>
    <xf numFmtId="0" fontId="20" fillId="0" borderId="0" xfId="0" applyFont="1" applyAlignment="1">
      <alignment horizontal="left" wrapText="1"/>
    </xf>
    <xf numFmtId="0" fontId="0" fillId="15" borderId="1" xfId="0" applyFill="1" applyBorder="1" applyAlignment="1">
      <alignment vertical="center"/>
    </xf>
    <xf numFmtId="11" fontId="0" fillId="0" borderId="1" xfId="0" applyNumberFormat="1" applyBorder="1" applyAlignment="1">
      <alignment horizontal="center"/>
    </xf>
    <xf numFmtId="164" fontId="0" fillId="0" borderId="1" xfId="2" applyNumberFormat="1" applyFont="1" applyBorder="1"/>
    <xf numFmtId="173" fontId="0" fillId="0" borderId="1" xfId="1" applyNumberFormat="1" applyFont="1" applyBorder="1" applyAlignment="1">
      <alignment horizont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11" fontId="0" fillId="0" borderId="1" xfId="1" applyNumberFormat="1" applyFont="1" applyFill="1" applyBorder="1" applyAlignment="1">
      <alignment horizontal="center"/>
    </xf>
    <xf numFmtId="44" fontId="0" fillId="0" borderId="7" xfId="2" applyFont="1" applyBorder="1" applyProtection="1">
      <protection locked="0"/>
    </xf>
    <xf numFmtId="0" fontId="42" fillId="7" borderId="93" xfId="0" applyFont="1" applyFill="1" applyBorder="1" applyAlignment="1">
      <alignment horizontal="center" vertical="center"/>
    </xf>
    <xf numFmtId="0" fontId="4" fillId="0" borderId="94" xfId="0" applyFont="1" applyBorder="1"/>
    <xf numFmtId="164" fontId="2" fillId="4" borderId="0" xfId="2" applyNumberFormat="1" applyFont="1" applyFill="1" applyBorder="1"/>
    <xf numFmtId="164" fontId="1" fillId="4" borderId="0" xfId="2" applyNumberFormat="1" applyFont="1" applyFill="1" applyBorder="1"/>
    <xf numFmtId="164" fontId="0" fillId="4" borderId="0" xfId="2" applyNumberFormat="1" applyFont="1" applyFill="1" applyBorder="1" applyAlignment="1">
      <alignment horizontal="right"/>
    </xf>
    <xf numFmtId="164" fontId="0" fillId="4" borderId="47" xfId="2" applyNumberFormat="1" applyFont="1" applyFill="1" applyBorder="1"/>
    <xf numFmtId="43" fontId="0" fillId="10" borderId="0" xfId="1" applyFont="1" applyFill="1" applyAlignment="1">
      <alignment horizontal="center"/>
    </xf>
    <xf numFmtId="0" fontId="17" fillId="3" borderId="42"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79" xfId="0" applyFont="1" applyFill="1" applyBorder="1" applyAlignment="1">
      <alignment horizontal="center" vertical="center"/>
    </xf>
    <xf numFmtId="0" fontId="4" fillId="6" borderId="66" xfId="0" applyFont="1" applyFill="1" applyBorder="1" applyAlignment="1" applyProtection="1">
      <alignment horizontal="left"/>
      <protection locked="0"/>
    </xf>
    <xf numFmtId="0" fontId="4" fillId="6" borderId="78" xfId="0" applyFont="1" applyFill="1" applyBorder="1" applyAlignment="1" applyProtection="1">
      <alignment horizontal="left"/>
      <protection locked="0"/>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8" xfId="0" applyFont="1" applyFill="1" applyBorder="1" applyAlignment="1">
      <alignment horizontal="left" indent="1"/>
    </xf>
    <xf numFmtId="0" fontId="17" fillId="3" borderId="4" xfId="0" applyFont="1" applyFill="1" applyBorder="1" applyAlignment="1">
      <alignment horizontal="left" indent="1"/>
    </xf>
    <xf numFmtId="0" fontId="17" fillId="3" borderId="7" xfId="0" applyFont="1" applyFill="1" applyBorder="1" applyAlignment="1">
      <alignment horizontal="left" indent="1"/>
    </xf>
    <xf numFmtId="0" fontId="17" fillId="3" borderId="1" xfId="0" applyFont="1" applyFill="1" applyBorder="1" applyAlignment="1">
      <alignment horizontal="left" indent="1"/>
    </xf>
    <xf numFmtId="0" fontId="17" fillId="3" borderId="37" xfId="0" applyFont="1" applyFill="1" applyBorder="1" applyAlignment="1">
      <alignment horizontal="left"/>
    </xf>
    <xf numFmtId="0" fontId="17" fillId="3" borderId="38" xfId="0" applyFont="1" applyFill="1" applyBorder="1" applyAlignment="1">
      <alignment horizontal="left"/>
    </xf>
    <xf numFmtId="0" fontId="17" fillId="3" borderId="80" xfId="0" applyFont="1" applyFill="1" applyBorder="1" applyAlignment="1">
      <alignment horizontal="left"/>
    </xf>
    <xf numFmtId="0" fontId="17" fillId="3" borderId="74"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76" xfId="0" applyFont="1" applyFill="1" applyBorder="1" applyAlignment="1">
      <alignment horizontal="center" vertical="center"/>
    </xf>
    <xf numFmtId="0" fontId="4" fillId="6" borderId="55" xfId="0" applyFont="1" applyFill="1" applyBorder="1" applyAlignment="1" applyProtection="1">
      <alignment horizontal="left"/>
      <protection locked="0"/>
    </xf>
    <xf numFmtId="0" fontId="4" fillId="6" borderId="58" xfId="0" applyFont="1" applyFill="1" applyBorder="1" applyAlignment="1" applyProtection="1">
      <alignment horizontal="left"/>
      <protection locked="0"/>
    </xf>
    <xf numFmtId="0" fontId="4" fillId="6" borderId="60" xfId="0" applyFont="1" applyFill="1" applyBorder="1" applyAlignment="1" applyProtection="1">
      <alignment horizontal="left"/>
      <protection locked="0"/>
    </xf>
    <xf numFmtId="0" fontId="4" fillId="6" borderId="61" xfId="0" applyFont="1" applyFill="1" applyBorder="1" applyAlignment="1" applyProtection="1">
      <alignment horizontal="left"/>
      <protection locked="0"/>
    </xf>
    <xf numFmtId="0" fontId="40" fillId="8" borderId="1" xfId="0" applyFont="1" applyFill="1" applyBorder="1" applyAlignment="1">
      <alignment horizontal="center" vertical="center" wrapText="1"/>
    </xf>
    <xf numFmtId="0" fontId="15" fillId="0" borderId="0" xfId="4" applyFill="1" applyBorder="1" applyAlignment="1" applyProtection="1">
      <alignment horizontal="left" vertical="center"/>
    </xf>
    <xf numFmtId="0" fontId="0" fillId="0" borderId="0" xfId="0" applyAlignment="1">
      <alignment horizontal="left" vertical="center" wrapText="1"/>
    </xf>
    <xf numFmtId="0" fontId="0" fillId="0" borderId="83"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4" fillId="0" borderId="0" xfId="0" applyFont="1" applyAlignment="1">
      <alignment horizontal="left" vertical="center" wrapText="1"/>
    </xf>
    <xf numFmtId="0" fontId="2" fillId="13" borderId="1" xfId="0" applyFont="1" applyFill="1" applyBorder="1" applyAlignment="1">
      <alignment horizontal="center" vertical="center" wrapText="1"/>
    </xf>
    <xf numFmtId="0" fontId="20" fillId="0" borderId="0" xfId="0" applyFont="1" applyAlignment="1">
      <alignment horizontal="left" vertical="center" wrapText="1"/>
    </xf>
    <xf numFmtId="0" fontId="20" fillId="0" borderId="21" xfId="0" applyFont="1" applyBorder="1" applyAlignment="1">
      <alignment horizontal="left" vertical="center" wrapText="1"/>
    </xf>
    <xf numFmtId="0" fontId="20" fillId="0" borderId="0" xfId="0" applyFont="1" applyAlignment="1">
      <alignment horizontal="left" wrapText="1"/>
    </xf>
    <xf numFmtId="0" fontId="20" fillId="0" borderId="21" xfId="0" applyFont="1" applyBorder="1" applyAlignment="1">
      <alignment horizontal="left" wrapText="1"/>
    </xf>
    <xf numFmtId="0" fontId="2" fillId="15" borderId="9" xfId="0" applyFont="1" applyFill="1" applyBorder="1" applyAlignment="1">
      <alignment horizontal="center" vertical="center" wrapText="1"/>
    </xf>
    <xf numFmtId="0" fontId="2" fillId="15" borderId="16"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0" fillId="0" borderId="31" xfId="0" applyFont="1" applyBorder="1" applyAlignment="1">
      <alignment horizontal="left" vertical="center" wrapText="1"/>
    </xf>
    <xf numFmtId="0" fontId="2" fillId="0" borderId="0" xfId="0" applyFont="1" applyAlignment="1">
      <alignment horizontal="left" vertical="center" wrapText="1"/>
    </xf>
    <xf numFmtId="0" fontId="2" fillId="15" borderId="10" xfId="0" applyFont="1" applyFill="1" applyBorder="1" applyAlignment="1">
      <alignment horizontal="center" vertical="center"/>
    </xf>
    <xf numFmtId="0" fontId="2" fillId="15" borderId="77" xfId="0" applyFont="1" applyFill="1" applyBorder="1" applyAlignment="1">
      <alignment horizontal="center" vertical="center"/>
    </xf>
    <xf numFmtId="0" fontId="2" fillId="15" borderId="11" xfId="0" applyFont="1" applyFill="1" applyBorder="1" applyAlignment="1">
      <alignment horizontal="center" vertical="center"/>
    </xf>
    <xf numFmtId="0" fontId="2" fillId="15" borderId="48"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21" xfId="0" applyFont="1" applyFill="1" applyBorder="1" applyAlignment="1">
      <alignment horizontal="center" vertical="center" wrapText="1"/>
    </xf>
    <xf numFmtId="0" fontId="43" fillId="0" borderId="0" xfId="0" applyFont="1" applyFill="1"/>
    <xf numFmtId="0" fontId="0" fillId="0" borderId="0" xfId="0" quotePrefix="1" applyFont="1" applyAlignment="1">
      <alignment horizontal="left" vertical="center" wrapText="1"/>
    </xf>
    <xf numFmtId="0" fontId="15" fillId="0" borderId="0" xfId="4" applyFont="1" applyAlignment="1">
      <alignment horizontal="left" vertical="center" wrapText="1"/>
    </xf>
    <xf numFmtId="0" fontId="0" fillId="0" borderId="31" xfId="0" quotePrefix="1" applyFont="1" applyBorder="1" applyAlignment="1">
      <alignment horizontal="left" vertical="top" wrapText="1"/>
    </xf>
    <xf numFmtId="0" fontId="0" fillId="0" borderId="0" xfId="0" quotePrefix="1" applyFont="1" applyAlignment="1">
      <alignment horizontal="left" vertical="top" wrapText="1"/>
    </xf>
    <xf numFmtId="0" fontId="27" fillId="0" borderId="0" xfId="0" applyFont="1" applyProtection="1"/>
    <xf numFmtId="0" fontId="3" fillId="0" borderId="0" xfId="0" applyFont="1" applyProtection="1"/>
    <xf numFmtId="0" fontId="0" fillId="0" borderId="0" xfId="0" applyProtection="1"/>
    <xf numFmtId="0" fontId="20" fillId="0" borderId="0" xfId="0" applyFont="1" applyProtection="1"/>
    <xf numFmtId="0" fontId="10" fillId="0" borderId="0" xfId="0" applyFont="1" applyProtection="1"/>
    <xf numFmtId="0" fontId="34" fillId="0" borderId="0" xfId="0" applyFont="1" applyProtection="1"/>
    <xf numFmtId="0" fontId="0" fillId="3" borderId="6" xfId="0" applyFill="1" applyBorder="1" applyAlignment="1" applyProtection="1">
      <alignment horizontal="left" wrapText="1"/>
    </xf>
    <xf numFmtId="0" fontId="0" fillId="3" borderId="19" xfId="0" applyFill="1" applyBorder="1" applyAlignment="1" applyProtection="1">
      <alignment horizontal="left" wrapText="1"/>
    </xf>
    <xf numFmtId="0" fontId="0" fillId="3" borderId="8" xfId="0" applyFill="1" applyBorder="1" applyAlignment="1" applyProtection="1">
      <alignment horizontal="left" wrapText="1"/>
    </xf>
    <xf numFmtId="0" fontId="0" fillId="3" borderId="5" xfId="0" applyFill="1" applyBorder="1" applyAlignment="1" applyProtection="1">
      <alignment horizontal="left" wrapText="1"/>
    </xf>
    <xf numFmtId="0" fontId="0" fillId="3" borderId="6" xfId="0" applyFill="1" applyBorder="1" applyAlignment="1" applyProtection="1">
      <alignment horizontal="left"/>
    </xf>
    <xf numFmtId="0" fontId="0" fillId="3" borderId="19" xfId="0" applyFill="1" applyBorder="1" applyAlignment="1" applyProtection="1">
      <alignment horizontal="left"/>
    </xf>
    <xf numFmtId="44" fontId="0" fillId="7" borderId="83" xfId="0" applyNumberFormat="1" applyFill="1" applyBorder="1" applyProtection="1"/>
    <xf numFmtId="0" fontId="10" fillId="0" borderId="0" xfId="0" applyFont="1" applyAlignment="1" applyProtection="1">
      <alignment wrapText="1"/>
    </xf>
    <xf numFmtId="0" fontId="0" fillId="3" borderId="7" xfId="0" applyFill="1" applyBorder="1" applyAlignment="1" applyProtection="1">
      <alignment horizontal="left"/>
    </xf>
    <xf numFmtId="0" fontId="0" fillId="3" borderId="3" xfId="0" applyFill="1" applyBorder="1" applyAlignment="1" applyProtection="1">
      <alignment horizontal="left"/>
    </xf>
    <xf numFmtId="44" fontId="0" fillId="7" borderId="84" xfId="0" applyNumberFormat="1" applyFill="1" applyBorder="1" applyProtection="1"/>
    <xf numFmtId="0" fontId="4" fillId="0" borderId="0" xfId="0" applyFont="1" applyAlignment="1" applyProtection="1">
      <alignment wrapText="1"/>
    </xf>
    <xf numFmtId="0" fontId="0" fillId="3" borderId="7" xfId="0" applyFill="1" applyBorder="1" applyAlignment="1" applyProtection="1">
      <alignment horizontal="left"/>
    </xf>
    <xf numFmtId="0" fontId="0" fillId="3" borderId="3" xfId="0" applyFill="1" applyBorder="1" applyAlignment="1" applyProtection="1">
      <alignment horizontal="left"/>
    </xf>
    <xf numFmtId="0" fontId="31" fillId="0" borderId="0" xfId="0" applyFont="1" applyProtection="1"/>
    <xf numFmtId="9" fontId="0" fillId="7" borderId="84" xfId="3" applyFont="1" applyFill="1" applyBorder="1" applyAlignment="1" applyProtection="1">
      <alignment horizontal="right"/>
    </xf>
    <xf numFmtId="0" fontId="32" fillId="0" borderId="0" xfId="0" applyFont="1" applyProtection="1"/>
    <xf numFmtId="166" fontId="0" fillId="7" borderId="84" xfId="0" applyNumberFormat="1" applyFill="1" applyBorder="1" applyAlignment="1" applyProtection="1">
      <alignment horizontal="right"/>
    </xf>
    <xf numFmtId="0" fontId="26" fillId="0" borderId="0" xfId="0" applyFont="1" applyProtection="1"/>
    <xf numFmtId="0" fontId="14" fillId="0" borderId="0" xfId="0" applyFont="1" applyProtection="1"/>
    <xf numFmtId="0" fontId="0" fillId="3" borderId="8" xfId="0" applyFill="1" applyBorder="1" applyAlignment="1" applyProtection="1">
      <alignment horizontal="left"/>
    </xf>
    <xf numFmtId="0" fontId="0" fillId="3" borderId="5" xfId="0" applyFill="1" applyBorder="1" applyAlignment="1" applyProtection="1">
      <alignment horizontal="left"/>
    </xf>
    <xf numFmtId="0" fontId="4" fillId="0" borderId="0" xfId="0" applyFont="1" applyProtection="1"/>
    <xf numFmtId="0" fontId="17" fillId="0" borderId="0" xfId="0" applyFont="1" applyAlignment="1" applyProtection="1">
      <alignment horizontal="left" wrapText="1"/>
    </xf>
    <xf numFmtId="0" fontId="24" fillId="0" borderId="0" xfId="0" applyFont="1" applyProtection="1"/>
    <xf numFmtId="0" fontId="2" fillId="3" borderId="26" xfId="0" applyFont="1" applyFill="1" applyBorder="1" applyAlignment="1" applyProtection="1">
      <alignment horizontal="left" wrapText="1"/>
    </xf>
    <xf numFmtId="0" fontId="2" fillId="3" borderId="28" xfId="0" applyFont="1" applyFill="1" applyBorder="1" applyAlignment="1" applyProtection="1">
      <alignment horizontal="left" wrapText="1"/>
    </xf>
    <xf numFmtId="0" fontId="2" fillId="3" borderId="37" xfId="0" applyFont="1" applyFill="1" applyBorder="1" applyAlignment="1" applyProtection="1">
      <alignment horizontal="left" wrapText="1"/>
    </xf>
    <xf numFmtId="0" fontId="2" fillId="3" borderId="27" xfId="0" applyFont="1" applyFill="1" applyBorder="1" applyAlignment="1" applyProtection="1">
      <alignment horizontal="left" wrapText="1"/>
    </xf>
    <xf numFmtId="0" fontId="2" fillId="3" borderId="27" xfId="0" applyFont="1" applyFill="1" applyBorder="1" applyAlignment="1" applyProtection="1">
      <alignment wrapText="1"/>
    </xf>
    <xf numFmtId="0" fontId="2" fillId="3" borderId="28" xfId="0" applyFont="1" applyFill="1" applyBorder="1" applyAlignment="1" applyProtection="1">
      <alignment horizontal="left" wrapText="1"/>
    </xf>
    <xf numFmtId="0" fontId="2" fillId="0" borderId="0" xfId="0" applyFont="1" applyAlignment="1" applyProtection="1">
      <alignment horizontal="left" wrapText="1"/>
    </xf>
    <xf numFmtId="0" fontId="2" fillId="13" borderId="26" xfId="0" applyFont="1" applyFill="1" applyBorder="1" applyAlignment="1" applyProtection="1">
      <alignment horizontal="left" vertical="center" wrapText="1"/>
    </xf>
    <xf numFmtId="0" fontId="2" fillId="13" borderId="53" xfId="0" applyFont="1" applyFill="1" applyBorder="1" applyAlignment="1" applyProtection="1">
      <alignment horizontal="center" vertical="center" wrapText="1"/>
    </xf>
    <xf numFmtId="0" fontId="3" fillId="3" borderId="23" xfId="0" applyFont="1" applyFill="1" applyBorder="1" applyAlignment="1" applyProtection="1">
      <alignment horizontal="left" vertical="top" wrapText="1"/>
    </xf>
    <xf numFmtId="0" fontId="3" fillId="3" borderId="25" xfId="0" applyFont="1" applyFill="1" applyBorder="1" applyAlignment="1" applyProtection="1">
      <alignment horizontal="left" vertical="top" wrapText="1"/>
    </xf>
    <xf numFmtId="0" fontId="3" fillId="3" borderId="47" xfId="0" applyFont="1" applyFill="1" applyBorder="1" applyAlignment="1" applyProtection="1">
      <alignment vertical="top" wrapText="1"/>
    </xf>
    <xf numFmtId="0" fontId="3" fillId="3" borderId="24" xfId="0" applyFont="1" applyFill="1" applyBorder="1" applyAlignment="1" applyProtection="1">
      <alignment vertical="top" wrapText="1"/>
    </xf>
    <xf numFmtId="0" fontId="3" fillId="3" borderId="24" xfId="0" applyFont="1" applyFill="1" applyBorder="1" applyAlignment="1" applyProtection="1">
      <alignment vertical="top"/>
    </xf>
    <xf numFmtId="0" fontId="2" fillId="3" borderId="24" xfId="0" applyFont="1" applyFill="1" applyBorder="1" applyAlignment="1" applyProtection="1">
      <alignment wrapText="1"/>
    </xf>
    <xf numFmtId="0" fontId="2" fillId="3" borderId="24" xfId="0" applyFont="1" applyFill="1" applyBorder="1" applyAlignment="1" applyProtection="1">
      <alignment horizontal="left" wrapText="1"/>
    </xf>
    <xf numFmtId="0" fontId="15" fillId="3" borderId="24" xfId="4" applyFill="1" applyBorder="1" applyAlignment="1" applyProtection="1">
      <alignment horizontal="left" wrapText="1"/>
    </xf>
    <xf numFmtId="0" fontId="3" fillId="3" borderId="25" xfId="0" applyFont="1" applyFill="1" applyBorder="1" applyAlignment="1" applyProtection="1">
      <alignment vertical="top" wrapText="1"/>
    </xf>
    <xf numFmtId="0" fontId="3" fillId="0" borderId="0" xfId="0" applyFont="1" applyAlignment="1" applyProtection="1">
      <alignment vertical="top" wrapText="1"/>
    </xf>
    <xf numFmtId="0" fontId="3" fillId="13" borderId="50" xfId="0" applyFont="1" applyFill="1" applyBorder="1" applyAlignment="1" applyProtection="1">
      <alignment vertical="top" wrapText="1"/>
    </xf>
    <xf numFmtId="0" fontId="3" fillId="13" borderId="54" xfId="0" applyFont="1" applyFill="1" applyBorder="1" applyAlignment="1" applyProtection="1">
      <alignment vertical="top" wrapText="1"/>
    </xf>
    <xf numFmtId="0" fontId="7" fillId="0" borderId="86" xfId="0" applyFont="1" applyBorder="1" applyAlignment="1" applyProtection="1">
      <alignment horizontal="left"/>
    </xf>
    <xf numFmtId="44" fontId="0" fillId="2" borderId="11" xfId="1" applyNumberFormat="1" applyFont="1" applyFill="1" applyBorder="1" applyProtection="1"/>
    <xf numFmtId="0" fontId="7" fillId="0" borderId="40" xfId="0" applyFont="1" applyBorder="1" applyAlignment="1" applyProtection="1">
      <alignment horizontal="left"/>
    </xf>
    <xf numFmtId="44" fontId="0" fillId="2" borderId="1" xfId="1" applyNumberFormat="1" applyFont="1" applyFill="1" applyBorder="1" applyProtection="1"/>
    <xf numFmtId="0" fontId="7" fillId="0" borderId="39" xfId="0" applyFont="1" applyBorder="1" applyAlignment="1" applyProtection="1">
      <alignment horizontal="left"/>
    </xf>
    <xf numFmtId="0" fontId="7" fillId="0" borderId="44" xfId="0" applyFont="1" applyBorder="1" applyAlignment="1" applyProtection="1">
      <alignment horizontal="left"/>
    </xf>
    <xf numFmtId="44" fontId="0" fillId="2" borderId="77" xfId="1" applyNumberFormat="1" applyFont="1" applyFill="1" applyBorder="1" applyProtection="1"/>
    <xf numFmtId="0" fontId="0" fillId="0" borderId="31" xfId="0" applyBorder="1" applyProtection="1"/>
    <xf numFmtId="0" fontId="0" fillId="7" borderId="41" xfId="0" applyFill="1" applyBorder="1" applyProtection="1"/>
    <xf numFmtId="0" fontId="21" fillId="7" borderId="36" xfId="0" applyFont="1" applyFill="1" applyBorder="1" applyProtection="1"/>
    <xf numFmtId="0" fontId="0" fillId="7" borderId="15" xfId="0" quotePrefix="1" applyFill="1" applyBorder="1" applyAlignment="1" applyProtection="1">
      <alignment horizontal="center"/>
    </xf>
    <xf numFmtId="2" fontId="0" fillId="7" borderId="15" xfId="0" quotePrefix="1" applyNumberFormat="1" applyFill="1" applyBorder="1" applyAlignment="1" applyProtection="1">
      <alignment horizontal="center"/>
    </xf>
    <xf numFmtId="39" fontId="0" fillId="7" borderId="4" xfId="0" quotePrefix="1" applyNumberFormat="1" applyFill="1" applyBorder="1" applyAlignment="1" applyProtection="1">
      <alignment horizontal="center"/>
    </xf>
    <xf numFmtId="0" fontId="0" fillId="0" borderId="0" xfId="0" applyAlignment="1" applyProtection="1">
      <alignment vertical="center"/>
    </xf>
    <xf numFmtId="0" fontId="0" fillId="0" borderId="0" xfId="0"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pplyProtection="1">
      <alignment horizontal="left" vertical="center"/>
    </xf>
    <xf numFmtId="44" fontId="0" fillId="0" borderId="3" xfId="2" applyFont="1" applyBorder="1" applyProtection="1">
      <protection locked="0"/>
    </xf>
    <xf numFmtId="0" fontId="20" fillId="0" borderId="0" xfId="0" quotePrefix="1" applyFont="1" applyAlignment="1" applyProtection="1">
      <alignment wrapText="1"/>
    </xf>
    <xf numFmtId="0" fontId="2" fillId="3" borderId="17" xfId="0" applyFont="1" applyFill="1" applyBorder="1" applyAlignment="1" applyProtection="1">
      <alignment horizontal="center"/>
    </xf>
    <xf numFmtId="0" fontId="2" fillId="3" borderId="18" xfId="0" applyFont="1" applyFill="1" applyBorder="1" applyAlignment="1" applyProtection="1">
      <alignment horizontal="center"/>
    </xf>
    <xf numFmtId="0" fontId="2" fillId="3" borderId="37" xfId="0" applyFont="1" applyFill="1" applyBorder="1" applyAlignment="1" applyProtection="1">
      <alignment horizontal="left" wrapText="1"/>
    </xf>
    <xf numFmtId="0" fontId="2" fillId="3" borderId="38" xfId="0" applyFont="1" applyFill="1" applyBorder="1" applyAlignment="1" applyProtection="1">
      <alignment horizontal="left" wrapText="1"/>
    </xf>
    <xf numFmtId="0" fontId="2" fillId="3" borderId="45" xfId="0" applyFont="1" applyFill="1" applyBorder="1" applyAlignment="1" applyProtection="1">
      <alignment horizontal="left" wrapText="1"/>
    </xf>
    <xf numFmtId="0" fontId="2" fillId="3" borderId="26" xfId="0" applyFont="1" applyFill="1" applyBorder="1" applyAlignment="1" applyProtection="1">
      <alignment horizontal="left" wrapText="1"/>
    </xf>
    <xf numFmtId="0" fontId="2" fillId="3" borderId="33" xfId="0" applyFont="1" applyFill="1" applyBorder="1" applyAlignment="1" applyProtection="1">
      <alignment horizontal="left" wrapText="1"/>
    </xf>
    <xf numFmtId="0" fontId="0" fillId="0" borderId="0" xfId="0" applyAlignment="1" applyProtection="1">
      <alignment wrapText="1"/>
    </xf>
    <xf numFmtId="0" fontId="3" fillId="3" borderId="42" xfId="0" applyFont="1" applyFill="1" applyBorder="1" applyAlignment="1" applyProtection="1">
      <alignment horizontal="left" wrapText="1"/>
    </xf>
    <xf numFmtId="0" fontId="3" fillId="3" borderId="47" xfId="0" applyFont="1" applyFill="1" applyBorder="1" applyAlignment="1" applyProtection="1">
      <alignment horizontal="left" wrapText="1"/>
    </xf>
    <xf numFmtId="0" fontId="3" fillId="3" borderId="24" xfId="0" applyFont="1" applyFill="1" applyBorder="1" applyAlignment="1" applyProtection="1">
      <alignment horizontal="left" wrapText="1"/>
    </xf>
    <xf numFmtId="0" fontId="9" fillId="3" borderId="24" xfId="0" applyFont="1" applyFill="1" applyBorder="1" applyAlignment="1" applyProtection="1">
      <alignment horizontal="center" wrapText="1"/>
    </xf>
    <xf numFmtId="0" fontId="3" fillId="3" borderId="46" xfId="0" applyFont="1" applyFill="1" applyBorder="1" applyAlignment="1" applyProtection="1">
      <alignment horizontal="left" wrapText="1"/>
    </xf>
    <xf numFmtId="0" fontId="3" fillId="3" borderId="50" xfId="0" applyFont="1" applyFill="1" applyBorder="1" applyAlignment="1" applyProtection="1">
      <alignment wrapText="1"/>
    </xf>
    <xf numFmtId="0" fontId="3" fillId="3" borderId="25" xfId="0" applyFont="1" applyFill="1" applyBorder="1" applyAlignment="1" applyProtection="1">
      <alignment horizontal="left" wrapText="1"/>
    </xf>
    <xf numFmtId="0" fontId="3" fillId="3" borderId="34" xfId="0" applyFont="1" applyFill="1" applyBorder="1" applyAlignment="1" applyProtection="1">
      <alignment horizontal="left" wrapText="1"/>
    </xf>
    <xf numFmtId="0" fontId="3" fillId="0" borderId="0" xfId="0" applyFont="1" applyAlignment="1" applyProtection="1">
      <alignment wrapText="1"/>
    </xf>
    <xf numFmtId="0" fontId="0" fillId="7" borderId="14" xfId="0" applyFill="1" applyBorder="1" applyAlignment="1" applyProtection="1">
      <alignment horizontal="left"/>
    </xf>
    <xf numFmtId="0" fontId="0" fillId="7" borderId="11" xfId="0" applyFill="1" applyBorder="1" applyAlignment="1" applyProtection="1">
      <alignment horizontal="left"/>
    </xf>
    <xf numFmtId="39" fontId="0" fillId="7" borderId="11" xfId="0" applyNumberFormat="1" applyFill="1" applyBorder="1" applyAlignment="1" applyProtection="1">
      <alignment horizontal="left"/>
    </xf>
    <xf numFmtId="37" fontId="0" fillId="7" borderId="12" xfId="0" applyNumberFormat="1" applyFill="1" applyBorder="1" applyAlignment="1" applyProtection="1">
      <alignment horizontal="left"/>
    </xf>
    <xf numFmtId="0" fontId="0" fillId="7" borderId="6" xfId="0" applyFill="1" applyBorder="1" applyAlignment="1" applyProtection="1">
      <alignment horizontal="left"/>
    </xf>
    <xf numFmtId="39" fontId="0" fillId="7" borderId="49" xfId="0" applyNumberFormat="1" applyFill="1" applyBorder="1" applyAlignment="1" applyProtection="1">
      <alignment horizontal="left"/>
    </xf>
    <xf numFmtId="167" fontId="0" fillId="7" borderId="35" xfId="0" applyNumberFormat="1" applyFill="1" applyBorder="1" applyAlignment="1" applyProtection="1">
      <alignment horizontal="left"/>
    </xf>
    <xf numFmtId="39" fontId="0" fillId="7" borderId="22" xfId="0" applyNumberFormat="1" applyFill="1" applyBorder="1" applyAlignment="1" applyProtection="1">
      <alignment horizontal="left"/>
    </xf>
    <xf numFmtId="167" fontId="0" fillId="0" borderId="0" xfId="0" applyNumberFormat="1" applyProtection="1"/>
    <xf numFmtId="0" fontId="0" fillId="7" borderId="7" xfId="0" applyFill="1" applyBorder="1" applyAlignment="1" applyProtection="1">
      <alignment horizontal="left"/>
    </xf>
    <xf numFmtId="0" fontId="0" fillId="7" borderId="1" xfId="0" applyFill="1" applyBorder="1" applyAlignment="1" applyProtection="1">
      <alignment horizontal="left"/>
    </xf>
    <xf numFmtId="39" fontId="0" fillId="7" borderId="1" xfId="0" applyNumberFormat="1" applyFill="1" applyBorder="1" applyAlignment="1" applyProtection="1">
      <alignment horizontal="left"/>
    </xf>
    <xf numFmtId="37" fontId="0" fillId="7" borderId="9" xfId="0" applyNumberFormat="1" applyFill="1" applyBorder="1" applyAlignment="1" applyProtection="1">
      <alignment horizontal="left"/>
    </xf>
    <xf numFmtId="167" fontId="0" fillId="7" borderId="14" xfId="0" applyNumberFormat="1" applyFill="1" applyBorder="1" applyAlignment="1" applyProtection="1">
      <alignment horizontal="left"/>
    </xf>
    <xf numFmtId="39" fontId="0" fillId="7" borderId="3" xfId="0" applyNumberFormat="1" applyFill="1" applyBorder="1" applyAlignment="1" applyProtection="1">
      <alignment horizontal="left"/>
    </xf>
    <xf numFmtId="167" fontId="0" fillId="7" borderId="2" xfId="0" applyNumberFormat="1" applyFill="1" applyBorder="1" applyAlignment="1" applyProtection="1">
      <alignment horizontal="left"/>
    </xf>
    <xf numFmtId="167" fontId="0" fillId="7" borderId="7" xfId="0" applyNumberFormat="1" applyFill="1" applyBorder="1" applyAlignment="1" applyProtection="1">
      <alignment horizontal="left"/>
    </xf>
    <xf numFmtId="0" fontId="0" fillId="7" borderId="13" xfId="0" applyFill="1" applyBorder="1" applyAlignment="1" applyProtection="1">
      <alignment horizontal="left"/>
    </xf>
    <xf numFmtId="0" fontId="0" fillId="7" borderId="10" xfId="0" applyFill="1" applyBorder="1" applyAlignment="1" applyProtection="1">
      <alignment horizontal="left"/>
    </xf>
    <xf numFmtId="39" fontId="0" fillId="7" borderId="10" xfId="0" applyNumberFormat="1" applyFill="1" applyBorder="1" applyAlignment="1" applyProtection="1">
      <alignment horizontal="left"/>
    </xf>
    <xf numFmtId="37" fontId="0" fillId="7" borderId="48" xfId="0" applyNumberFormat="1" applyFill="1" applyBorder="1" applyAlignment="1" applyProtection="1">
      <alignment horizontal="left"/>
    </xf>
    <xf numFmtId="0" fontId="2" fillId="7" borderId="8" xfId="0" applyFont="1" applyFill="1" applyBorder="1" applyAlignment="1" applyProtection="1">
      <alignment horizontal="left"/>
    </xf>
    <xf numFmtId="0" fontId="2" fillId="7" borderId="4" xfId="0" applyFont="1" applyFill="1" applyBorder="1" applyAlignment="1" applyProtection="1">
      <alignment horizontal="left"/>
    </xf>
    <xf numFmtId="39" fontId="2" fillId="7" borderId="4" xfId="0" applyNumberFormat="1" applyFont="1" applyFill="1" applyBorder="1" applyAlignment="1" applyProtection="1">
      <alignment horizontal="left"/>
    </xf>
    <xf numFmtId="7" fontId="2" fillId="7" borderId="4" xfId="0" applyNumberFormat="1" applyFont="1" applyFill="1" applyBorder="1" applyAlignment="1" applyProtection="1">
      <alignment horizontal="left"/>
    </xf>
    <xf numFmtId="3" fontId="17" fillId="7" borderId="15" xfId="1" applyNumberFormat="1" applyFont="1" applyFill="1" applyBorder="1" applyAlignment="1" applyProtection="1">
      <alignment horizontal="left"/>
    </xf>
    <xf numFmtId="7" fontId="2" fillId="7" borderId="8" xfId="0" applyNumberFormat="1" applyFont="1" applyFill="1" applyBorder="1" applyAlignment="1" applyProtection="1">
      <alignment horizontal="left"/>
    </xf>
    <xf numFmtId="39" fontId="2" fillId="7" borderId="5" xfId="0" applyNumberFormat="1" applyFont="1" applyFill="1" applyBorder="1" applyAlignment="1" applyProtection="1">
      <alignment horizontal="left"/>
    </xf>
    <xf numFmtId="7" fontId="2" fillId="7" borderId="36" xfId="0" applyNumberFormat="1" applyFont="1" applyFill="1" applyBorder="1" applyAlignment="1" applyProtection="1">
      <alignment horizontal="left"/>
    </xf>
    <xf numFmtId="0" fontId="2" fillId="0" borderId="0" xfId="0" applyFont="1" applyProtection="1"/>
    <xf numFmtId="0" fontId="43" fillId="7" borderId="8" xfId="0" applyFont="1" applyFill="1" applyBorder="1" applyAlignment="1" applyProtection="1">
      <alignment horizontal="left"/>
    </xf>
    <xf numFmtId="0" fontId="43" fillId="7" borderId="4" xfId="0" applyFont="1" applyFill="1" applyBorder="1" applyAlignment="1" applyProtection="1">
      <alignment horizontal="left"/>
    </xf>
    <xf numFmtId="39" fontId="43" fillId="7" borderId="4" xfId="0" applyNumberFormat="1" applyFont="1" applyFill="1" applyBorder="1" applyAlignment="1" applyProtection="1">
      <alignment horizontal="left"/>
    </xf>
    <xf numFmtId="7" fontId="43" fillId="7" borderId="4" xfId="0" applyNumberFormat="1" applyFont="1" applyFill="1" applyBorder="1" applyAlignment="1" applyProtection="1">
      <alignment horizontal="left"/>
    </xf>
    <xf numFmtId="3" fontId="44" fillId="7" borderId="15" xfId="1" applyNumberFormat="1" applyFont="1" applyFill="1" applyBorder="1" applyAlignment="1" applyProtection="1">
      <alignment horizontal="left"/>
    </xf>
    <xf numFmtId="7" fontId="43" fillId="7" borderId="8" xfId="0" applyNumberFormat="1" applyFont="1" applyFill="1" applyBorder="1" applyAlignment="1" applyProtection="1">
      <alignment horizontal="left"/>
    </xf>
    <xf numFmtId="39" fontId="43" fillId="7" borderId="5" xfId="0" applyNumberFormat="1" applyFont="1" applyFill="1" applyBorder="1" applyAlignment="1" applyProtection="1">
      <alignment horizontal="left"/>
    </xf>
    <xf numFmtId="7" fontId="43" fillId="7" borderId="36" xfId="0" applyNumberFormat="1" applyFont="1" applyFill="1" applyBorder="1" applyAlignment="1" applyProtection="1">
      <alignment horizontal="left"/>
    </xf>
    <xf numFmtId="9" fontId="2" fillId="0" borderId="0" xfId="3" applyFont="1" applyProtection="1"/>
    <xf numFmtId="0" fontId="2" fillId="3" borderId="9" xfId="0" applyFont="1" applyFill="1" applyBorder="1" applyAlignment="1" applyProtection="1">
      <alignment horizontal="left"/>
    </xf>
    <xf numFmtId="0" fontId="2" fillId="3" borderId="16" xfId="0" applyFont="1" applyFill="1" applyBorder="1" applyAlignment="1" applyProtection="1">
      <alignment horizontal="left"/>
    </xf>
    <xf numFmtId="7" fontId="26" fillId="0" borderId="0" xfId="0" applyNumberFormat="1" applyFont="1" applyAlignment="1" applyProtection="1">
      <alignment horizontal="left"/>
    </xf>
    <xf numFmtId="0" fontId="0" fillId="0" borderId="0" xfId="0" applyAlignment="1" applyProtection="1">
      <alignment horizontal="left"/>
    </xf>
    <xf numFmtId="39" fontId="0" fillId="0" borderId="0" xfId="0" applyNumberFormat="1" applyAlignment="1" applyProtection="1">
      <alignment horizontal="left"/>
    </xf>
    <xf numFmtId="7" fontId="0" fillId="0" borderId="0" xfId="0" applyNumberFormat="1" applyAlignment="1" applyProtection="1">
      <alignment horizontal="left"/>
    </xf>
    <xf numFmtId="0" fontId="2" fillId="3" borderId="17"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53" xfId="0" applyFont="1" applyFill="1" applyBorder="1" applyAlignment="1" applyProtection="1">
      <alignment horizontal="left" wrapText="1"/>
    </xf>
    <xf numFmtId="0" fontId="2" fillId="3" borderId="33" xfId="0" applyFont="1" applyFill="1" applyBorder="1" applyAlignment="1" applyProtection="1">
      <alignment horizontal="left" wrapText="1"/>
    </xf>
    <xf numFmtId="0" fontId="2" fillId="3" borderId="38" xfId="0" applyFont="1" applyFill="1" applyBorder="1" applyProtection="1"/>
    <xf numFmtId="0" fontId="2" fillId="3" borderId="27" xfId="2" applyNumberFormat="1" applyFont="1" applyFill="1" applyBorder="1" applyAlignment="1" applyProtection="1">
      <alignment wrapText="1"/>
    </xf>
    <xf numFmtId="0" fontId="2" fillId="3" borderId="45" xfId="1" applyNumberFormat="1" applyFont="1" applyFill="1" applyBorder="1" applyAlignment="1" applyProtection="1">
      <alignment wrapText="1"/>
    </xf>
    <xf numFmtId="0" fontId="2" fillId="3" borderId="77" xfId="0" applyFont="1" applyFill="1" applyBorder="1" applyAlignment="1" applyProtection="1">
      <alignment wrapText="1"/>
    </xf>
    <xf numFmtId="0" fontId="17" fillId="3" borderId="77" xfId="0" applyFont="1" applyFill="1" applyBorder="1" applyAlignment="1" applyProtection="1">
      <alignment wrapText="1"/>
    </xf>
    <xf numFmtId="0" fontId="17" fillId="3" borderId="77" xfId="2" applyNumberFormat="1" applyFont="1" applyFill="1" applyBorder="1" applyAlignment="1" applyProtection="1">
      <alignment wrapText="1"/>
    </xf>
    <xf numFmtId="0" fontId="2" fillId="3" borderId="77" xfId="2" applyNumberFormat="1" applyFont="1" applyFill="1" applyBorder="1" applyAlignment="1" applyProtection="1">
      <alignment wrapText="1"/>
    </xf>
    <xf numFmtId="0" fontId="2" fillId="3" borderId="30" xfId="2" applyNumberFormat="1" applyFont="1" applyFill="1" applyBorder="1" applyAlignment="1" applyProtection="1">
      <alignment wrapText="1"/>
    </xf>
    <xf numFmtId="0" fontId="3" fillId="3" borderId="42" xfId="0" applyFont="1" applyFill="1" applyBorder="1" applyAlignment="1" applyProtection="1">
      <alignment horizontal="left"/>
    </xf>
    <xf numFmtId="0" fontId="3" fillId="3" borderId="47" xfId="0" applyFont="1" applyFill="1" applyBorder="1" applyAlignment="1" applyProtection="1">
      <alignment horizontal="left"/>
    </xf>
    <xf numFmtId="0" fontId="3" fillId="3" borderId="79" xfId="0" applyFont="1" applyFill="1" applyBorder="1" applyAlignment="1" applyProtection="1">
      <alignment horizontal="left"/>
    </xf>
    <xf numFmtId="0" fontId="3" fillId="3" borderId="34" xfId="0" applyFont="1" applyFill="1" applyBorder="1" applyAlignment="1" applyProtection="1">
      <alignment horizontal="left"/>
    </xf>
    <xf numFmtId="0" fontId="3" fillId="3" borderId="47" xfId="0" applyFont="1" applyFill="1" applyBorder="1" applyProtection="1"/>
    <xf numFmtId="0" fontId="3" fillId="3" borderId="24" xfId="2" applyNumberFormat="1" applyFont="1" applyFill="1" applyBorder="1" applyAlignment="1" applyProtection="1">
      <alignment wrapText="1"/>
    </xf>
    <xf numFmtId="0" fontId="3" fillId="3" borderId="46" xfId="1" applyNumberFormat="1" applyFont="1" applyFill="1" applyBorder="1" applyAlignment="1" applyProtection="1">
      <alignment wrapText="1"/>
    </xf>
    <xf numFmtId="0" fontId="3" fillId="3" borderId="24" xfId="0" applyFont="1" applyFill="1" applyBorder="1" applyAlignment="1" applyProtection="1">
      <alignment horizontal="left" vertical="top" wrapText="1"/>
    </xf>
    <xf numFmtId="0" fontId="3" fillId="3" borderId="77" xfId="2" applyNumberFormat="1" applyFont="1" applyFill="1" applyBorder="1" applyAlignment="1" applyProtection="1">
      <alignment wrapText="1"/>
    </xf>
    <xf numFmtId="0" fontId="3" fillId="3" borderId="30" xfId="2" applyNumberFormat="1" applyFont="1" applyFill="1" applyBorder="1" applyAlignment="1" applyProtection="1">
      <alignment horizontal="left" vertical="top" wrapText="1"/>
    </xf>
    <xf numFmtId="0" fontId="8" fillId="7" borderId="12" xfId="0" applyFont="1" applyFill="1" applyBorder="1" applyAlignment="1" applyProtection="1">
      <alignment horizontal="left"/>
    </xf>
    <xf numFmtId="0" fontId="0" fillId="7" borderId="21" xfId="0" applyFill="1" applyBorder="1" applyAlignment="1" applyProtection="1">
      <alignment horizontal="left"/>
    </xf>
    <xf numFmtId="0" fontId="0" fillId="7" borderId="35" xfId="0" applyFill="1" applyBorder="1" applyAlignment="1" applyProtection="1">
      <alignment horizontal="left"/>
    </xf>
    <xf numFmtId="0" fontId="0" fillId="7" borderId="12" xfId="0" applyFill="1" applyBorder="1" applyAlignment="1" applyProtection="1">
      <alignment horizontal="left"/>
    </xf>
    <xf numFmtId="44" fontId="0" fillId="7" borderId="35" xfId="2" applyFont="1" applyFill="1" applyBorder="1" applyAlignment="1" applyProtection="1">
      <alignment horizontal="left"/>
    </xf>
    <xf numFmtId="44" fontId="0" fillId="7" borderId="1" xfId="2" applyFont="1" applyFill="1" applyBorder="1" applyAlignment="1" applyProtection="1">
      <alignment wrapText="1"/>
    </xf>
    <xf numFmtId="169" fontId="0" fillId="7" borderId="35" xfId="1" applyNumberFormat="1" applyFont="1" applyFill="1" applyBorder="1" applyAlignment="1" applyProtection="1">
      <alignment horizontal="left"/>
    </xf>
    <xf numFmtId="165" fontId="0" fillId="7" borderId="11" xfId="1" applyNumberFormat="1" applyFont="1" applyFill="1" applyBorder="1" applyAlignment="1" applyProtection="1">
      <alignment wrapText="1"/>
    </xf>
    <xf numFmtId="44" fontId="0" fillId="7" borderId="11" xfId="2" applyFont="1" applyFill="1" applyBorder="1" applyAlignment="1" applyProtection="1">
      <alignment wrapText="1"/>
    </xf>
    <xf numFmtId="9" fontId="0" fillId="0" borderId="0" xfId="3" applyFont="1" applyProtection="1"/>
    <xf numFmtId="43" fontId="0" fillId="0" borderId="0" xfId="0" applyNumberFormat="1" applyProtection="1"/>
    <xf numFmtId="165" fontId="0" fillId="0" borderId="0" xfId="0" applyNumberFormat="1" applyProtection="1"/>
    <xf numFmtId="0" fontId="8" fillId="7" borderId="9" xfId="0" applyFont="1" applyFill="1" applyBorder="1" applyAlignment="1" applyProtection="1">
      <alignment horizontal="left"/>
    </xf>
    <xf numFmtId="0" fontId="0" fillId="7" borderId="16" xfId="0" applyFill="1" applyBorder="1" applyAlignment="1" applyProtection="1">
      <alignment horizontal="left"/>
    </xf>
    <xf numFmtId="0" fontId="0" fillId="7" borderId="2" xfId="0" applyFill="1" applyBorder="1" applyAlignment="1" applyProtection="1">
      <alignment horizontal="left"/>
    </xf>
    <xf numFmtId="0" fontId="0" fillId="7" borderId="32" xfId="0" applyFill="1" applyBorder="1" applyAlignment="1" applyProtection="1">
      <alignment horizontal="left"/>
    </xf>
    <xf numFmtId="0" fontId="3" fillId="7" borderId="42" xfId="0" applyFont="1" applyFill="1" applyBorder="1" applyProtection="1"/>
    <xf numFmtId="0" fontId="28" fillId="7" borderId="47" xfId="0" applyFont="1" applyFill="1" applyBorder="1" applyAlignment="1" applyProtection="1">
      <alignment horizontal="left"/>
    </xf>
    <xf numFmtId="0" fontId="9" fillId="7" borderId="36" xfId="0" applyFont="1" applyFill="1" applyBorder="1" applyAlignment="1" applyProtection="1">
      <alignment horizontal="left"/>
    </xf>
    <xf numFmtId="0" fontId="0" fillId="7" borderId="88" xfId="0" applyFill="1" applyBorder="1" applyAlignment="1" applyProtection="1">
      <alignment horizontal="left"/>
    </xf>
    <xf numFmtId="0" fontId="0" fillId="7" borderId="36" xfId="0" applyFill="1" applyBorder="1" applyAlignment="1" applyProtection="1">
      <alignment horizontal="left"/>
    </xf>
    <xf numFmtId="164" fontId="2" fillId="7" borderId="34" xfId="2" applyNumberFormat="1" applyFont="1" applyFill="1" applyBorder="1" applyAlignment="1" applyProtection="1">
      <alignment wrapText="1"/>
    </xf>
    <xf numFmtId="44" fontId="2" fillId="7" borderId="24" xfId="2" applyFont="1" applyFill="1" applyBorder="1" applyAlignment="1" applyProtection="1">
      <alignment wrapText="1"/>
    </xf>
    <xf numFmtId="169" fontId="2" fillId="7" borderId="36" xfId="1" applyNumberFormat="1" applyFont="1" applyFill="1" applyBorder="1" applyAlignment="1" applyProtection="1">
      <alignment horizontal="right"/>
    </xf>
    <xf numFmtId="165" fontId="2" fillId="7" borderId="24" xfId="0" applyNumberFormat="1" applyFont="1" applyFill="1" applyBorder="1" applyAlignment="1" applyProtection="1">
      <alignment wrapText="1"/>
    </xf>
    <xf numFmtId="37" fontId="2" fillId="7" borderId="24" xfId="2" applyNumberFormat="1" applyFont="1" applyFill="1" applyBorder="1" applyAlignment="1" applyProtection="1">
      <alignment wrapText="1"/>
    </xf>
    <xf numFmtId="44" fontId="2" fillId="7" borderId="5" xfId="2" applyFont="1" applyFill="1" applyBorder="1" applyAlignment="1" applyProtection="1">
      <alignment wrapText="1"/>
    </xf>
    <xf numFmtId="164" fontId="0" fillId="0" borderId="0" xfId="2" applyNumberFormat="1" applyFont="1" applyFill="1" applyBorder="1" applyAlignment="1" applyProtection="1">
      <alignment wrapText="1"/>
    </xf>
    <xf numFmtId="43" fontId="0" fillId="0" borderId="0" xfId="1" applyFont="1" applyFill="1" applyBorder="1" applyAlignment="1" applyProtection="1">
      <alignment wrapText="1"/>
    </xf>
    <xf numFmtId="0" fontId="2" fillId="0" borderId="0" xfId="0" applyFont="1" applyAlignment="1" applyProtection="1">
      <alignment horizontal="right"/>
    </xf>
    <xf numFmtId="44" fontId="0" fillId="7" borderId="0" xfId="2" applyFont="1" applyFill="1" applyProtection="1"/>
    <xf numFmtId="172" fontId="0" fillId="0" borderId="0" xfId="0" applyNumberFormat="1" applyAlignment="1" applyProtection="1">
      <alignment horizontal="left" vertical="center"/>
    </xf>
    <xf numFmtId="0" fontId="15" fillId="0" borderId="0" xfId="4" applyAlignment="1" applyProtection="1">
      <alignment horizontal="left" vertical="center"/>
    </xf>
    <xf numFmtId="0" fontId="2" fillId="3" borderId="1" xfId="0" applyFont="1" applyFill="1" applyBorder="1" applyAlignment="1" applyProtection="1">
      <alignment horizontal="left" vertical="center" wrapText="1"/>
    </xf>
    <xf numFmtId="7" fontId="0" fillId="0" borderId="0" xfId="0" applyNumberFormat="1" applyProtection="1"/>
    <xf numFmtId="5" fontId="0" fillId="0" borderId="0" xfId="0" applyNumberFormat="1" applyProtection="1"/>
    <xf numFmtId="0" fontId="2" fillId="3" borderId="91" xfId="0" applyFont="1" applyFill="1" applyBorder="1" applyAlignment="1" applyProtection="1">
      <alignment horizontal="center" vertical="center" wrapText="1"/>
    </xf>
    <xf numFmtId="0" fontId="2" fillId="3" borderId="17" xfId="0" applyFont="1" applyFill="1" applyBorder="1" applyAlignment="1" applyProtection="1">
      <alignment horizontal="left" vertical="center"/>
    </xf>
    <xf numFmtId="0" fontId="2" fillId="3" borderId="20" xfId="0" applyFont="1" applyFill="1" applyBorder="1" applyAlignment="1" applyProtection="1">
      <alignment horizontal="left" vertical="center"/>
    </xf>
    <xf numFmtId="0" fontId="2" fillId="3" borderId="17" xfId="0" applyFont="1" applyFill="1" applyBorder="1" applyAlignment="1" applyProtection="1">
      <alignment horizontal="center" vertical="center"/>
    </xf>
    <xf numFmtId="0" fontId="2" fillId="3" borderId="91" xfId="0" applyFont="1" applyFill="1" applyBorder="1" applyAlignment="1" applyProtection="1">
      <alignment horizontal="left" vertical="center" wrapText="1"/>
    </xf>
    <xf numFmtId="0" fontId="2" fillId="3" borderId="91"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0" xfId="0" applyFont="1" applyFill="1" applyBorder="1" applyAlignment="1" applyProtection="1">
      <alignment wrapText="1"/>
    </xf>
    <xf numFmtId="0" fontId="2" fillId="3" borderId="32" xfId="0" applyFont="1" applyFill="1" applyBorder="1" applyAlignment="1" applyProtection="1">
      <alignment wrapText="1"/>
    </xf>
    <xf numFmtId="0" fontId="2" fillId="3" borderId="91" xfId="0" applyFont="1" applyFill="1" applyBorder="1" applyAlignment="1" applyProtection="1">
      <alignment horizontal="left"/>
    </xf>
    <xf numFmtId="0" fontId="2" fillId="3" borderId="91" xfId="0" applyFont="1" applyFill="1" applyBorder="1" applyAlignment="1" applyProtection="1">
      <alignment horizontal="center"/>
    </xf>
    <xf numFmtId="0" fontId="3" fillId="0" borderId="0" xfId="0" applyFont="1" applyAlignment="1" applyProtection="1">
      <alignment vertical="top"/>
    </xf>
    <xf numFmtId="0" fontId="3" fillId="3" borderId="39" xfId="0" applyFont="1" applyFill="1" applyBorder="1" applyAlignment="1" applyProtection="1">
      <alignment horizontal="left" vertical="top" wrapText="1"/>
    </xf>
    <xf numFmtId="0" fontId="3" fillId="3" borderId="35" xfId="0" applyFont="1" applyFill="1" applyBorder="1" applyAlignment="1" applyProtection="1">
      <alignment horizontal="left" vertical="top" wrapText="1"/>
    </xf>
    <xf numFmtId="0" fontId="3" fillId="3" borderId="12" xfId="0" applyFont="1" applyFill="1" applyBorder="1" applyAlignment="1" applyProtection="1">
      <alignment horizontal="left" vertical="top" wrapText="1"/>
    </xf>
    <xf numFmtId="0" fontId="3" fillId="3" borderId="39" xfId="0" applyFont="1" applyFill="1" applyBorder="1" applyAlignment="1" applyProtection="1">
      <alignment horizontal="left" vertical="top" wrapText="1"/>
    </xf>
    <xf numFmtId="0" fontId="3" fillId="3" borderId="35" xfId="0" applyFont="1" applyFill="1" applyBorder="1" applyAlignment="1" applyProtection="1">
      <alignment horizontal="left" vertical="top" wrapText="1"/>
    </xf>
    <xf numFmtId="0" fontId="3" fillId="3" borderId="22" xfId="0" applyFont="1" applyFill="1" applyBorder="1" applyAlignment="1" applyProtection="1">
      <alignment horizontal="left" vertical="top" wrapText="1"/>
    </xf>
    <xf numFmtId="0" fontId="0" fillId="7" borderId="7" xfId="0" applyFill="1" applyBorder="1" applyProtection="1"/>
    <xf numFmtId="0" fontId="9" fillId="7" borderId="1" xfId="0" applyFont="1" applyFill="1" applyBorder="1" applyAlignment="1" applyProtection="1">
      <alignment horizontal="center"/>
    </xf>
    <xf numFmtId="37" fontId="0" fillId="7" borderId="1" xfId="0" applyNumberFormat="1" applyFill="1" applyBorder="1" applyAlignment="1" applyProtection="1">
      <alignment horizontal="center"/>
    </xf>
    <xf numFmtId="37" fontId="4" fillId="7" borderId="1" xfId="0" applyNumberFormat="1" applyFont="1" applyFill="1" applyBorder="1" applyAlignment="1" applyProtection="1">
      <alignment horizontal="center"/>
    </xf>
    <xf numFmtId="37" fontId="4" fillId="7" borderId="84" xfId="0" applyNumberFormat="1" applyFont="1" applyFill="1" applyBorder="1" applyAlignment="1" applyProtection="1">
      <alignment horizontal="center"/>
    </xf>
    <xf numFmtId="0" fontId="0" fillId="7" borderId="40" xfId="0" applyFill="1" applyBorder="1" applyAlignment="1" applyProtection="1">
      <alignment horizontal="left"/>
    </xf>
    <xf numFmtId="0" fontId="0" fillId="7" borderId="40" xfId="0" applyFill="1" applyBorder="1" applyProtection="1"/>
    <xf numFmtId="168" fontId="0" fillId="7" borderId="2" xfId="0" applyNumberFormat="1" applyFill="1" applyBorder="1" applyProtection="1"/>
    <xf numFmtId="0" fontId="0" fillId="7" borderId="1" xfId="0" applyFill="1" applyBorder="1" applyAlignment="1" applyProtection="1">
      <alignment horizontal="left" vertical="center"/>
    </xf>
    <xf numFmtId="0" fontId="0" fillId="7" borderId="1" xfId="0" applyFill="1" applyBorder="1" applyAlignment="1" applyProtection="1">
      <alignment horizontal="left"/>
    </xf>
    <xf numFmtId="0" fontId="0" fillId="7" borderId="13" xfId="0" applyFill="1" applyBorder="1" applyProtection="1"/>
    <xf numFmtId="0" fontId="9" fillId="7" borderId="10" xfId="0" applyFont="1" applyFill="1" applyBorder="1" applyAlignment="1" applyProtection="1">
      <alignment horizontal="center"/>
    </xf>
    <xf numFmtId="5" fontId="0" fillId="7" borderId="10" xfId="0" applyNumberFormat="1" applyFill="1" applyBorder="1" applyAlignment="1" applyProtection="1">
      <alignment horizontal="center"/>
    </xf>
    <xf numFmtId="5" fontId="0" fillId="7" borderId="29" xfId="0" applyNumberFormat="1" applyFill="1" applyBorder="1" applyAlignment="1" applyProtection="1">
      <alignment horizontal="center"/>
    </xf>
    <xf numFmtId="0" fontId="2" fillId="11" borderId="17" xfId="0" applyFont="1" applyFill="1" applyBorder="1" applyAlignment="1" applyProtection="1">
      <alignment horizontal="left"/>
    </xf>
    <xf numFmtId="0" fontId="2" fillId="11" borderId="20" xfId="0" applyFont="1" applyFill="1" applyBorder="1" applyAlignment="1" applyProtection="1">
      <alignment horizontal="left"/>
    </xf>
    <xf numFmtId="0" fontId="2" fillId="11" borderId="18" xfId="0" applyFont="1" applyFill="1" applyBorder="1" applyAlignment="1" applyProtection="1">
      <alignment horizontal="left"/>
    </xf>
    <xf numFmtId="0" fontId="0" fillId="7" borderId="40" xfId="0" applyFill="1" applyBorder="1" applyAlignment="1" applyProtection="1">
      <alignment vertical="center"/>
    </xf>
    <xf numFmtId="168" fontId="0" fillId="7" borderId="2" xfId="0" applyNumberFormat="1" applyFill="1" applyBorder="1" applyAlignment="1" applyProtection="1">
      <alignment vertical="center"/>
    </xf>
    <xf numFmtId="0" fontId="4" fillId="7" borderId="14" xfId="0" applyFont="1" applyFill="1" applyBorder="1" applyProtection="1"/>
    <xf numFmtId="0" fontId="9" fillId="7" borderId="11" xfId="0" applyFont="1" applyFill="1" applyBorder="1" applyAlignment="1" applyProtection="1">
      <alignment horizontal="center"/>
    </xf>
    <xf numFmtId="37" fontId="0" fillId="7" borderId="11" xfId="0" applyNumberFormat="1" applyFill="1" applyBorder="1" applyAlignment="1" applyProtection="1">
      <alignment horizontal="center"/>
    </xf>
    <xf numFmtId="37" fontId="0" fillId="7" borderId="49" xfId="0" applyNumberFormat="1" applyFill="1" applyBorder="1" applyAlignment="1" applyProtection="1">
      <alignment horizontal="center"/>
    </xf>
    <xf numFmtId="0" fontId="4" fillId="7" borderId="7" xfId="0" applyFont="1" applyFill="1" applyBorder="1" applyProtection="1"/>
    <xf numFmtId="168" fontId="0" fillId="7" borderId="1" xfId="0" applyNumberFormat="1" applyFill="1" applyBorder="1" applyAlignment="1" applyProtection="1">
      <alignment horizontal="center"/>
    </xf>
    <xf numFmtId="168" fontId="0" fillId="7" borderId="84" xfId="0" applyNumberFormat="1" applyFill="1" applyBorder="1" applyAlignment="1" applyProtection="1">
      <alignment horizontal="center"/>
    </xf>
    <xf numFmtId="37" fontId="0" fillId="7" borderId="3" xfId="0" applyNumberFormat="1" applyFill="1" applyBorder="1" applyAlignment="1" applyProtection="1">
      <alignment horizontal="center"/>
    </xf>
    <xf numFmtId="0" fontId="3" fillId="7" borderId="1" xfId="0" applyFont="1" applyFill="1" applyBorder="1" applyAlignment="1" applyProtection="1">
      <alignment horizontal="center"/>
    </xf>
    <xf numFmtId="5" fontId="0" fillId="7" borderId="1" xfId="0" applyNumberFormat="1" applyFill="1" applyBorder="1" applyAlignment="1" applyProtection="1">
      <alignment horizontal="center"/>
    </xf>
    <xf numFmtId="5" fontId="0" fillId="7" borderId="5" xfId="0" applyNumberFormat="1" applyFill="1" applyBorder="1" applyAlignment="1" applyProtection="1">
      <alignment horizontal="center"/>
    </xf>
    <xf numFmtId="37" fontId="0" fillId="7" borderId="22" xfId="0" applyNumberFormat="1" applyFill="1" applyBorder="1" applyAlignment="1" applyProtection="1">
      <alignment horizontal="center"/>
    </xf>
    <xf numFmtId="0" fontId="4" fillId="7" borderId="50" xfId="0" applyFont="1" applyFill="1" applyBorder="1" applyProtection="1"/>
    <xf numFmtId="0" fontId="4" fillId="7" borderId="13" xfId="0" applyFont="1" applyFill="1" applyBorder="1" applyProtection="1"/>
    <xf numFmtId="0" fontId="3" fillId="7" borderId="10" xfId="0" applyFont="1" applyFill="1" applyBorder="1" applyAlignment="1" applyProtection="1">
      <alignment horizontal="center"/>
    </xf>
    <xf numFmtId="0" fontId="17" fillId="7" borderId="91" xfId="0" applyFont="1" applyFill="1" applyBorder="1" applyProtection="1"/>
    <xf numFmtId="0" fontId="21" fillId="7" borderId="91" xfId="0" applyFont="1" applyFill="1" applyBorder="1" applyAlignment="1" applyProtection="1">
      <alignment horizontal="center"/>
    </xf>
    <xf numFmtId="5" fontId="2" fillId="7" borderId="91" xfId="0" applyNumberFormat="1" applyFont="1" applyFill="1" applyBorder="1" applyAlignment="1" applyProtection="1">
      <alignment horizontal="center"/>
    </xf>
    <xf numFmtId="0" fontId="0" fillId="0" borderId="0" xfId="0" quotePrefix="1" applyAlignment="1" applyProtection="1">
      <alignment horizontal="left" vertical="center" wrapText="1"/>
    </xf>
    <xf numFmtId="0" fontId="4" fillId="0" borderId="0" xfId="0" applyFont="1" applyAlignment="1" applyProtection="1">
      <alignment horizontal="left" vertical="center" wrapText="1"/>
    </xf>
    <xf numFmtId="0" fontId="2" fillId="0" borderId="0" xfId="0" applyFont="1" applyAlignment="1" applyProtection="1">
      <alignment horizontal="left" vertical="center"/>
    </xf>
    <xf numFmtId="0" fontId="15" fillId="0" borderId="0" xfId="4" applyFill="1" applyAlignment="1" applyProtection="1">
      <alignment horizontal="left" vertical="center"/>
    </xf>
    <xf numFmtId="0" fontId="2" fillId="7" borderId="41" xfId="0" applyFont="1" applyFill="1" applyBorder="1" applyAlignment="1" applyProtection="1">
      <alignment horizontal="left"/>
    </xf>
    <xf numFmtId="0" fontId="2" fillId="7" borderId="36" xfId="0" applyFont="1" applyFill="1" applyBorder="1" applyAlignment="1" applyProtection="1">
      <alignment horizontal="left"/>
    </xf>
    <xf numFmtId="37" fontId="2" fillId="7" borderId="15" xfId="0" applyNumberFormat="1" applyFont="1" applyFill="1" applyBorder="1" applyAlignment="1" applyProtection="1">
      <alignment horizontal="left"/>
    </xf>
  </cellXfs>
  <cellStyles count="5">
    <cellStyle name="Comma" xfId="1" builtinId="3"/>
    <cellStyle name="Currency" xfId="2" builtinId="4"/>
    <cellStyle name="Hyperlink" xfId="4" builtinId="8"/>
    <cellStyle name="Normal" xfId="0" builtinId="0"/>
    <cellStyle name="Percent" xfId="3" builtinId="5"/>
  </cellStyles>
  <dxfs count="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24994659260841701"/>
        </patternFill>
      </fill>
    </dxf>
    <dxf>
      <font>
        <color auto="1"/>
      </font>
      <fill>
        <patternFill>
          <bgColor theme="0"/>
        </patternFill>
      </fill>
    </dxf>
    <dxf>
      <fill>
        <patternFill>
          <bgColor theme="0" tint="-0.24994659260841701"/>
        </patternFill>
      </fill>
    </dxf>
    <dxf>
      <fill>
        <patternFill>
          <bgColor theme="0" tint="-0.24994659260841701"/>
        </patternFill>
      </fill>
    </dxf>
    <dxf>
      <fill>
        <patternFill>
          <bgColor theme="0"/>
        </patternFill>
      </fill>
    </dxf>
    <dxf>
      <font>
        <color auto="1"/>
      </font>
      <fill>
        <patternFill>
          <bgColor theme="0"/>
        </patternFill>
      </fill>
    </dxf>
    <dxf>
      <fill>
        <patternFill>
          <bgColor theme="0" tint="-0.2499465926084170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rgb="FF00B050"/>
        </patternFill>
      </fill>
    </dxf>
    <dxf>
      <fill>
        <patternFill>
          <bgColor theme="9" tint="0.59996337778862885"/>
        </patternFill>
      </fill>
    </dxf>
    <dxf>
      <fill>
        <patternFill>
          <bgColor theme="5" tint="0.59996337778862885"/>
        </patternFill>
      </fill>
    </dxf>
    <dxf>
      <font>
        <b val="0"/>
        <i val="0"/>
        <strike val="0"/>
        <condense val="0"/>
        <extend val="0"/>
        <outline val="0"/>
        <shadow val="0"/>
        <u val="none"/>
        <vertAlign val="baseline"/>
        <sz val="11"/>
        <color auto="1"/>
        <name val="Calibri"/>
        <family val="2"/>
        <scheme val="minor"/>
      </font>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top style="thin">
          <color theme="0"/>
        </top>
        <bottom style="thin">
          <color theme="0" tint="-0.249977111117893"/>
        </bottom>
      </border>
    </dxf>
    <dxf>
      <font>
        <b val="0"/>
        <i val="0"/>
        <strike val="0"/>
        <condense val="0"/>
        <extend val="0"/>
        <outline val="0"/>
        <shadow val="0"/>
        <u val="none"/>
        <vertAlign val="baseline"/>
        <sz val="11"/>
        <color auto="1"/>
        <name val="Calibri"/>
        <family val="2"/>
        <scheme val="minor"/>
      </font>
    </dxf>
    <dxf>
      <border outline="0">
        <bottom style="thin">
          <color theme="0"/>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000000"/>
        <name val="Calibri"/>
        <family val="2"/>
        <scheme val="minor"/>
      </font>
    </dxf>
    <dxf>
      <border outline="0">
        <top style="thin">
          <color indexed="64"/>
        </top>
      </border>
    </dxf>
    <dxf>
      <border outline="0">
        <bottom style="thin">
          <color indexed="64"/>
        </bottom>
      </border>
    </dxf>
    <dxf>
      <font>
        <b val="0"/>
        <i val="0"/>
        <strike val="0"/>
        <condense val="0"/>
        <extend val="0"/>
        <outline val="0"/>
        <shadow val="0"/>
        <u val="none"/>
        <vertAlign val="baseline"/>
        <sz val="11"/>
        <color rgb="FF000000"/>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1655586</xdr:colOff>
      <xdr:row>0</xdr:row>
      <xdr:rowOff>0</xdr:rowOff>
    </xdr:from>
    <xdr:to>
      <xdr:col>4</xdr:col>
      <xdr:colOff>211666</xdr:colOff>
      <xdr:row>6</xdr:row>
      <xdr:rowOff>37170</xdr:rowOff>
    </xdr:to>
    <xdr:pic>
      <xdr:nvPicPr>
        <xdr:cNvPr id="2" name="Picture 1">
          <a:extLst>
            <a:ext uri="{FF2B5EF4-FFF2-40B4-BE49-F238E27FC236}">
              <a16:creationId xmlns:a16="http://schemas.microsoft.com/office/drawing/2014/main" id="{3A8006E3-7481-42E2-9967-5783D00820DC}"/>
            </a:ext>
          </a:extLst>
        </xdr:cNvPr>
        <xdr:cNvPicPr>
          <a:picLocks noChangeAspect="1"/>
        </xdr:cNvPicPr>
      </xdr:nvPicPr>
      <xdr:blipFill>
        <a:blip xmlns:r="http://schemas.openxmlformats.org/officeDocument/2006/relationships" r:embed="rId1"/>
        <a:stretch>
          <a:fillRect/>
        </a:stretch>
      </xdr:blipFill>
      <xdr:spPr>
        <a:xfrm>
          <a:off x="5195005" y="0"/>
          <a:ext cx="1895828" cy="1137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768350</xdr:colOff>
      <xdr:row>0</xdr:row>
      <xdr:rowOff>31750</xdr:rowOff>
    </xdr:from>
    <xdr:to>
      <xdr:col>6</xdr:col>
      <xdr:colOff>1038832</xdr:colOff>
      <xdr:row>5</xdr:row>
      <xdr:rowOff>104478</xdr:rowOff>
    </xdr:to>
    <xdr:pic>
      <xdr:nvPicPr>
        <xdr:cNvPr id="3" name="Picture 2">
          <a:extLst>
            <a:ext uri="{FF2B5EF4-FFF2-40B4-BE49-F238E27FC236}">
              <a16:creationId xmlns:a16="http://schemas.microsoft.com/office/drawing/2014/main" id="{32892EE1-CECC-436D-8273-4FFD777008B0}"/>
            </a:ext>
          </a:extLst>
        </xdr:cNvPr>
        <xdr:cNvPicPr>
          <a:picLocks noChangeAspect="1"/>
        </xdr:cNvPicPr>
      </xdr:nvPicPr>
      <xdr:blipFill>
        <a:blip xmlns:r="http://schemas.openxmlformats.org/officeDocument/2006/relationships" r:embed="rId1"/>
        <a:stretch>
          <a:fillRect/>
        </a:stretch>
      </xdr:blipFill>
      <xdr:spPr>
        <a:xfrm>
          <a:off x="5118100" y="31750"/>
          <a:ext cx="1639966" cy="9693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878394</xdr:colOff>
      <xdr:row>1</xdr:row>
      <xdr:rowOff>0</xdr:rowOff>
    </xdr:from>
    <xdr:to>
      <xdr:col>9</xdr:col>
      <xdr:colOff>3070580</xdr:colOff>
      <xdr:row>7</xdr:row>
      <xdr:rowOff>132973</xdr:rowOff>
    </xdr:to>
    <xdr:pic>
      <xdr:nvPicPr>
        <xdr:cNvPr id="2" name="Picture 1">
          <a:extLst>
            <a:ext uri="{FF2B5EF4-FFF2-40B4-BE49-F238E27FC236}">
              <a16:creationId xmlns:a16="http://schemas.microsoft.com/office/drawing/2014/main" id="{90ED89D8-9B14-42D1-973D-7E5EDE67D0E5}"/>
            </a:ext>
          </a:extLst>
        </xdr:cNvPr>
        <xdr:cNvPicPr>
          <a:picLocks noChangeAspect="1"/>
        </xdr:cNvPicPr>
      </xdr:nvPicPr>
      <xdr:blipFill>
        <a:blip xmlns:r="http://schemas.openxmlformats.org/officeDocument/2006/relationships" r:embed="rId1"/>
        <a:stretch>
          <a:fillRect/>
        </a:stretch>
      </xdr:blipFill>
      <xdr:spPr>
        <a:xfrm>
          <a:off x="8395207" y="0"/>
          <a:ext cx="2190281" cy="1291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726723</xdr:colOff>
      <xdr:row>0</xdr:row>
      <xdr:rowOff>0</xdr:rowOff>
    </xdr:from>
    <xdr:to>
      <xdr:col>7</xdr:col>
      <xdr:colOff>203648</xdr:colOff>
      <xdr:row>1</xdr:row>
      <xdr:rowOff>836084</xdr:rowOff>
    </xdr:to>
    <xdr:pic>
      <xdr:nvPicPr>
        <xdr:cNvPr id="2" name="Picture 1">
          <a:extLst>
            <a:ext uri="{FF2B5EF4-FFF2-40B4-BE49-F238E27FC236}">
              <a16:creationId xmlns:a16="http://schemas.microsoft.com/office/drawing/2014/main" id="{31FCB16E-15A1-4C39-B353-00529DE23356}"/>
            </a:ext>
          </a:extLst>
        </xdr:cNvPr>
        <xdr:cNvPicPr>
          <a:picLocks noChangeAspect="1"/>
        </xdr:cNvPicPr>
      </xdr:nvPicPr>
      <xdr:blipFill>
        <a:blip xmlns:r="http://schemas.openxmlformats.org/officeDocument/2006/relationships" r:embed="rId1"/>
        <a:stretch>
          <a:fillRect/>
        </a:stretch>
      </xdr:blipFill>
      <xdr:spPr>
        <a:xfrm>
          <a:off x="4250973" y="0"/>
          <a:ext cx="1922733" cy="1195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1265704</xdr:colOff>
      <xdr:row>0</xdr:row>
      <xdr:rowOff>51955</xdr:rowOff>
    </xdr:from>
    <xdr:to>
      <xdr:col>5</xdr:col>
      <xdr:colOff>378431</xdr:colOff>
      <xdr:row>5</xdr:row>
      <xdr:rowOff>256470</xdr:rowOff>
    </xdr:to>
    <xdr:pic>
      <xdr:nvPicPr>
        <xdr:cNvPr id="2" name="Picture 1">
          <a:extLst>
            <a:ext uri="{FF2B5EF4-FFF2-40B4-BE49-F238E27FC236}">
              <a16:creationId xmlns:a16="http://schemas.microsoft.com/office/drawing/2014/main" id="{D6058DB7-6D18-4731-B81E-476522E20217}"/>
            </a:ext>
          </a:extLst>
        </xdr:cNvPr>
        <xdr:cNvPicPr>
          <a:picLocks noChangeAspect="1"/>
        </xdr:cNvPicPr>
      </xdr:nvPicPr>
      <xdr:blipFill>
        <a:blip xmlns:r="http://schemas.openxmlformats.org/officeDocument/2006/relationships" r:embed="rId1"/>
        <a:stretch>
          <a:fillRect/>
        </a:stretch>
      </xdr:blipFill>
      <xdr:spPr>
        <a:xfrm>
          <a:off x="6106136" y="51955"/>
          <a:ext cx="1703001" cy="113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rowland\NYCEEC%20Dropbox\-%20NYCEEC%20RESTRICTED%20PACE\Engineering\Tech%20Cert\Archive\NYC%20Accelerator%20PACE%20Technical%20Certification%20Workbook_v3.0_WORKING%201-13-23%20(updated%20guidance%20AND%20CBR).xlsx" TargetMode="External"/><Relationship Id="rId1" Type="http://schemas.openxmlformats.org/officeDocument/2006/relationships/externalLinkPath" Target="Archive/NYC%20Accelerator%20PACE%20Technical%20Certification%20Workbook_v3.0_WORKING%201-13-23%20(updated%20guidance%20AND%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ummary"/>
      <sheetName val="2 TIPLA Summary"/>
      <sheetName val="3 SIR"/>
      <sheetName val="4 Construction Scope"/>
      <sheetName val="5 Savings Analysis"/>
      <sheetName val="6 Local Law 97 Analysis"/>
      <sheetName val="Social Cost Value Analysis"/>
      <sheetName val="Backup"/>
      <sheetName val="Prequal Measures"/>
      <sheetName val="Incr Cost Measures"/>
      <sheetName val="NYC Accelerator PACE Technical "/>
    </sheetNames>
    <sheetDataSet>
      <sheetData sheetId="0"/>
      <sheetData sheetId="1"/>
      <sheetData sheetId="2"/>
      <sheetData sheetId="3"/>
      <sheetData sheetId="4"/>
      <sheetData sheetId="5"/>
      <sheetData sheetId="6"/>
      <sheetData sheetId="7"/>
      <sheetData sheetId="8"/>
      <sheetData sheetId="9">
        <row r="4">
          <cell r="B4" t="str">
            <v>04 Building Enclosure</v>
          </cell>
        </row>
        <row r="5">
          <cell r="B5" t="str">
            <v>Install or increase attic or knee wall insulation</v>
          </cell>
        </row>
        <row r="6">
          <cell r="B6" t="str">
            <v>Install or increase ceiling insulation</v>
          </cell>
        </row>
        <row r="7">
          <cell r="B7" t="str">
            <v>Install or increase floor slab and/or foundation insulation</v>
          </cell>
        </row>
        <row r="8">
          <cell r="B8" t="str">
            <v>Install or increase roof or soffit insulation</v>
          </cell>
        </row>
        <row r="9">
          <cell r="B9" t="str">
            <v>Install or increase wall insulation</v>
          </cell>
        </row>
        <row r="10">
          <cell r="B10" t="str">
            <v>Install or increase foundation insulation</v>
          </cell>
        </row>
        <row r="11">
          <cell r="B11" t="str">
            <v>Insulate thermal bridge</v>
          </cell>
        </row>
        <row r="12">
          <cell r="B12" t="str">
            <v>Replace glazing with high performance glazing</v>
          </cell>
        </row>
        <row r="13">
          <cell r="B13" t="str">
            <v>Replace window assembly with high performance window assembly</v>
          </cell>
        </row>
      </sheetData>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DC51A-56C1-447B-850A-EBE16DA4E451}" name="DCAS_EE_list" displayName="DCAS_EE_list" ref="B22:T144" totalsRowShown="0" headerRowDxfId="43" headerRowBorderDxfId="42" tableBorderDxfId="41">
  <autoFilter ref="B22:T144" xr:uid="{99D3DEF9-F7D0-42FA-8D95-A34139674FB7}"/>
  <tableColumns count="19">
    <tableColumn id="1" xr3:uid="{40F7F104-43F9-4CDA-A1AA-78A315A0CE86}" name="01 Advanced Metering Systems"/>
    <tableColumn id="2" xr3:uid="{6643C590-5F14-4D69-8408-6C049DD8ECB9}" name="02 Boiler Plant"/>
    <tableColumn id="3" xr3:uid="{EE14D0C2-0A69-4937-BA76-4C672FC259EC}" name="03 Building Automation Systems"/>
    <tableColumn id="4" xr3:uid="{FDE3C139-C73C-4C0C-BC04-193E3493D6A4}" name="04 Building Envelope"/>
    <tableColumn id="5" xr3:uid="{9224E69C-1E86-42B3-9846-CCB0A749C6ED}" name="05 Chilled Water Hot Water And Steam Distribution Systems"/>
    <tableColumn id="6" xr3:uid="{8822CE25-2096-40F4-B6E3-85E97B816A16}" name="06 Chiller Plant"/>
    <tableColumn id="7" xr3:uid="{9915E525-94D7-4C6D-9FBF-A3AD80043AAC}" name="07 Conveyance Systems"/>
    <tableColumn id="8" xr3:uid="{9EB00B88-850B-4DF3-B5B1-456C9AADE491}" name="08 Data Center"/>
    <tableColumn id="9" xr3:uid="{A4765D60-D26F-4F21-9749-788A2BABA619}" name="09 Distributed Generation"/>
    <tableColumn id="10" xr3:uid="{4D082A95-9B28-40A4-8ACE-3FA69DA3D4E2}" name="10 Electrical Peak Shaving Load Shifting"/>
    <tableColumn id="11" xr3:uid="{B7AC01E2-4D4A-4E89-9CE0-DEB496850349}" name="11 Energy Distribution Systems"/>
    <tableColumn id="12" xr3:uid="{8B2015E6-2314-4E2A-9CE3-72DF134492E6}" name="12 Lighting"/>
    <tableColumn id="13" xr3:uid="{384864BB-4213-467A-910D-8AF0639570C7}" name="13 Other Electric Motors And Drives"/>
    <tableColumn id="14" xr3:uid="{21D73A40-5598-4714-AFAB-A6E2CA6BA143}" name="14 HVAC" dataDxfId="40"/>
    <tableColumn id="15" xr3:uid="{C4A6A558-2162-4F2A-92D7-5D7411BF3BB3}" name="15 Plug Loads"/>
    <tableColumn id="16" xr3:uid="{8C73C621-713C-4BE6-9CB7-3671A72A20DB}" name="16 Refrigeration"/>
    <tableColumn id="18" xr3:uid="{23D4E01A-93EB-4711-A897-FB4BDFE96CDE}" name="18 Service Hot Water Systems"/>
    <tableColumn id="19" xr3:uid="{7E1CBDAC-6FF2-49CB-9B6E-69093F81BED3}" name="20 Water And Sewer Conservation Systems"/>
    <tableColumn id="20" xr3:uid="{1698F811-CBAA-48DC-BABC-D4BF1398213C}" name="19 Uncategorize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59DAA-BEF1-4A64-9D25-8933F11D968B}" name="NYSERDA_RE_list" displayName="NYSERDA_RE_list" ref="B11:B18" totalsRowShown="0" dataDxfId="39">
  <autoFilter ref="B11:B18" xr:uid="{3C0F2389-D6BD-4B50-915B-D79D231FC330}"/>
  <tableColumns count="1">
    <tableColumn id="1" xr3:uid="{B7EFEC23-D781-4C8F-A4A7-FA3519C1BFFB}" name="Renewable energy systems"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41419-242B-42E0-A192-F5505439D402}" name="Measure_list" displayName="Measure_list" ref="B3:B10" totalsRowShown="0" headerRowDxfId="37" headerRowBorderDxfId="36" tableBorderDxfId="35" totalsRowBorderDxfId="34">
  <autoFilter ref="B3:B10" xr:uid="{E1B7A426-691B-449C-A76E-FAACAC569EC3}"/>
  <tableColumns count="1">
    <tableColumn id="1" xr3:uid="{D311273F-0C73-4DA4-9367-6F7B6E1C24FB}" name="Measure typ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E944EB-5255-4BE4-8C28-7278BEE5E24E}" name="Units_list" displayName="Units_list" ref="D3:D6" totalsRowShown="0">
  <autoFilter ref="D3:D6" xr:uid="{23153DFF-F19A-4849-81DA-49C77587852D}"/>
  <tableColumns count="1">
    <tableColumn id="1" xr3:uid="{BC40F7D7-0AB1-4CDD-8AEA-05BE4683F028}" name="Unit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D3045-CD95-427B-BF6C-5A349B50F484}" name="Locations_list" displayName="Locations_list" ref="F3:F11" totalsRowShown="0">
  <autoFilter ref="F3:F11" xr:uid="{5917DEA7-42B9-4CBE-82BA-088B4683942E}"/>
  <tableColumns count="1">
    <tableColumn id="1" xr3:uid="{1EE873C9-51D7-4536-A6E4-6A6168315C95}" name="Building location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8A9EEB-6D5A-407E-BFE0-7704BCC3C0DA}" name="Table6" displayName="Table6" ref="B4:B24" totalsRowShown="0" headerRowDxfId="32" dataDxfId="30" headerRowBorderDxfId="31" tableBorderDxfId="29" totalsRowBorderDxfId="28">
  <autoFilter ref="B4:B24" xr:uid="{ED8A9EEB-6D5A-407E-BFE0-7704BCC3C0DA}"/>
  <tableColumns count="1">
    <tableColumn id="1" xr3:uid="{E90158B4-3DEF-441C-8BAA-28F8E8F556DF}" name="04 Building Enclosure" dataDxfId="2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zola.planning.nyc.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accelerator.nyc/resources/finance/PACE" TargetMode="External"/><Relationship Id="rId7" Type="http://schemas.openxmlformats.org/officeDocument/2006/relationships/drawing" Target="../drawings/drawing3.xml"/><Relationship Id="rId2" Type="http://schemas.openxmlformats.org/officeDocument/2006/relationships/hyperlink" Target="https://dps.ny.gov/technical-resource-manual-trm" TargetMode="External"/><Relationship Id="rId1" Type="http://schemas.openxmlformats.org/officeDocument/2006/relationships/hyperlink" Target="https://www.nyserda.ny.gov/All-Programs/commercial-property-assessed-clean-energy" TargetMode="External"/><Relationship Id="rId6" Type="http://schemas.openxmlformats.org/officeDocument/2006/relationships/printerSettings" Target="../printerSettings/printerSettings4.bin"/><Relationship Id="rId5" Type="http://schemas.openxmlformats.org/officeDocument/2006/relationships/hyperlink" Target="https://www.nyserda.ny.gov/All-Programs/commercial-property-assessed-clean-energy" TargetMode="External"/><Relationship Id="rId4" Type="http://schemas.openxmlformats.org/officeDocument/2006/relationships/hyperlink" Target="https://www.nyserda.ny.gov/All-Programs/commercial-property-assessed-clean-energy"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nyserda.ny.gov/All-Programs/commercial-property-assessed-clean-energy"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nergystar.gov/buildings/benchmark/understand_metrics/property_types" TargetMode="External"/><Relationship Id="rId1" Type="http://schemas.openxmlformats.org/officeDocument/2006/relationships/hyperlink" Target="https://www1.nyc.gov/assets/buildings/local_laws/ll97of2019.pdf"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93A1-0C9D-4861-81D2-0468733DC52B}">
  <sheetPr codeName="Sheet1">
    <tabColor theme="9" tint="0.79998168889431442"/>
  </sheetPr>
  <dimension ref="B2:O55"/>
  <sheetViews>
    <sheetView showGridLines="0" tabSelected="1" view="pageBreakPreview" zoomScale="70" zoomScaleNormal="90" zoomScaleSheetLayoutView="70" workbookViewId="0">
      <selection activeCell="F34" sqref="F34"/>
    </sheetView>
  </sheetViews>
  <sheetFormatPr defaultRowHeight="14.4" x14ac:dyDescent="0.3"/>
  <cols>
    <col min="1" max="1" width="1.5546875" customWidth="1"/>
    <col min="2" max="2" width="49.33203125" customWidth="1"/>
    <col min="3" max="3" width="25.33203125" customWidth="1"/>
    <col min="4" max="5" width="22.5546875" customWidth="1"/>
    <col min="6" max="6" width="39.33203125" customWidth="1"/>
  </cols>
  <sheetData>
    <row r="2" spans="2:6" x14ac:dyDescent="0.3">
      <c r="B2" s="260" t="s">
        <v>781</v>
      </c>
    </row>
    <row r="7" spans="2:6" x14ac:dyDescent="0.3">
      <c r="B7" s="30" t="s">
        <v>585</v>
      </c>
    </row>
    <row r="8" spans="2:6" ht="18.600000000000001" thickBot="1" x14ac:dyDescent="0.4">
      <c r="B8" s="27"/>
    </row>
    <row r="9" spans="2:6" s="15" customFormat="1" ht="15" customHeight="1" thickBot="1" x14ac:dyDescent="0.35">
      <c r="B9" s="225" t="s">
        <v>512</v>
      </c>
      <c r="C9" s="226"/>
      <c r="D9" s="226"/>
      <c r="E9" s="226"/>
      <c r="F9" s="227"/>
    </row>
    <row r="10" spans="2:6" s="16" customFormat="1" ht="15" customHeight="1" x14ac:dyDescent="0.3">
      <c r="B10" s="67" t="s">
        <v>509</v>
      </c>
      <c r="C10" s="230"/>
      <c r="D10" s="230"/>
      <c r="E10" s="230"/>
      <c r="F10" s="231"/>
    </row>
    <row r="11" spans="2:6" s="16" customFormat="1" ht="15" customHeight="1" x14ac:dyDescent="0.3">
      <c r="B11" s="68" t="s">
        <v>510</v>
      </c>
      <c r="C11" s="228"/>
      <c r="D11" s="228"/>
      <c r="E11" s="228"/>
      <c r="F11" s="229"/>
    </row>
    <row r="12" spans="2:6" s="16" customFormat="1" ht="15" customHeight="1" x14ac:dyDescent="0.3">
      <c r="B12" s="68" t="s">
        <v>511</v>
      </c>
      <c r="C12" s="228"/>
      <c r="D12" s="228"/>
      <c r="E12" s="228"/>
      <c r="F12" s="229"/>
    </row>
    <row r="13" spans="2:6" s="16" customFormat="1" ht="15" customHeight="1" x14ac:dyDescent="0.3">
      <c r="B13" s="69" t="s">
        <v>712</v>
      </c>
      <c r="C13" s="213"/>
      <c r="D13" s="213"/>
      <c r="E13" s="213"/>
      <c r="F13" s="214"/>
    </row>
    <row r="14" spans="2:6" s="16" customFormat="1" ht="15" customHeight="1" thickBot="1" x14ac:dyDescent="0.35">
      <c r="B14" s="69" t="s">
        <v>576</v>
      </c>
      <c r="C14" s="213"/>
      <c r="D14" s="213"/>
      <c r="E14" s="213"/>
      <c r="F14" s="214"/>
    </row>
    <row r="15" spans="2:6" s="16" customFormat="1" ht="15" customHeight="1" thickBot="1" x14ac:dyDescent="0.35">
      <c r="B15" s="215" t="s">
        <v>584</v>
      </c>
      <c r="C15" s="216"/>
      <c r="D15" s="216"/>
      <c r="E15" s="216"/>
      <c r="F15" s="217"/>
    </row>
    <row r="16" spans="2:6" s="16" customFormat="1" ht="15" customHeight="1" x14ac:dyDescent="0.3">
      <c r="B16" s="70" t="s">
        <v>570</v>
      </c>
      <c r="C16" s="71">
        <f>'4 Construction Scope'!D7</f>
        <v>0</v>
      </c>
      <c r="D16" s="40"/>
      <c r="E16" s="40"/>
      <c r="F16" s="41"/>
    </row>
    <row r="17" spans="2:15" s="16" customFormat="1" ht="15" customHeight="1" thickBot="1" x14ac:dyDescent="0.35">
      <c r="B17" s="72" t="s">
        <v>599</v>
      </c>
      <c r="C17" s="73">
        <f>'4 Construction Scope'!D10</f>
        <v>0</v>
      </c>
      <c r="D17" s="42"/>
      <c r="E17" s="42"/>
      <c r="F17" s="43"/>
    </row>
    <row r="18" spans="2:15" s="15" customFormat="1" ht="15" customHeight="1" thickBot="1" x14ac:dyDescent="0.35">
      <c r="B18" s="210" t="s">
        <v>568</v>
      </c>
      <c r="C18" s="211"/>
      <c r="D18" s="211"/>
      <c r="E18" s="211"/>
      <c r="F18" s="212"/>
      <c r="H18" s="44"/>
    </row>
    <row r="19" spans="2:15" s="16" customFormat="1" ht="15" customHeight="1" x14ac:dyDescent="0.3">
      <c r="B19" s="74"/>
      <c r="C19" s="75" t="s">
        <v>513</v>
      </c>
      <c r="D19" s="76" t="s">
        <v>514</v>
      </c>
      <c r="E19" s="76" t="s">
        <v>694</v>
      </c>
      <c r="F19" s="77" t="s">
        <v>517</v>
      </c>
      <c r="H19" s="28"/>
      <c r="I19" s="28"/>
      <c r="J19" s="28"/>
      <c r="K19" s="28"/>
      <c r="L19" s="28"/>
      <c r="M19" s="29"/>
      <c r="N19" s="29"/>
      <c r="O19" s="29"/>
    </row>
    <row r="20" spans="2:15" s="16" customFormat="1" ht="15" customHeight="1" x14ac:dyDescent="0.3">
      <c r="B20" s="78" t="s">
        <v>596</v>
      </c>
      <c r="C20" s="79"/>
      <c r="D20" s="80"/>
      <c r="E20" s="80"/>
      <c r="F20" s="81"/>
    </row>
    <row r="21" spans="2:15" s="16" customFormat="1" ht="15" customHeight="1" x14ac:dyDescent="0.3">
      <c r="B21" s="82" t="s">
        <v>516</v>
      </c>
      <c r="C21" s="83">
        <f>'5 Savings Analysis'!E6</f>
        <v>0</v>
      </c>
      <c r="D21" s="84">
        <f>C21-'5 Savings Analysis'!$J$69</f>
        <v>0</v>
      </c>
      <c r="E21" s="84">
        <f>C21-D21</f>
        <v>0</v>
      </c>
      <c r="F21" s="85" t="str">
        <f>IF(AND(C21=0, D21&gt;0),"New usage, no baseline electricity usage",IFERROR((C21-D21)/C21,"No change"))</f>
        <v>No change</v>
      </c>
    </row>
    <row r="22" spans="2:15" s="16" customFormat="1" ht="15" customHeight="1" x14ac:dyDescent="0.3">
      <c r="B22" s="82" t="s">
        <v>560</v>
      </c>
      <c r="C22" s="83">
        <f>'5 Savings Analysis'!E7</f>
        <v>0</v>
      </c>
      <c r="D22" s="84">
        <f>C22-'5 Savings Analysis'!$K$69</f>
        <v>0</v>
      </c>
      <c r="E22" s="84">
        <f>C22-D22</f>
        <v>0</v>
      </c>
      <c r="F22" s="85" t="str">
        <f>IF(AND(C22=0, D22&gt;0),"New usage, no baseline natural gas usage",IFERROR((C22-D22)/C22,"No change"))</f>
        <v>No change</v>
      </c>
    </row>
    <row r="23" spans="2:15" s="16" customFormat="1" ht="15" customHeight="1" x14ac:dyDescent="0.3">
      <c r="B23" s="82" t="s">
        <v>564</v>
      </c>
      <c r="C23" s="83">
        <f>'5 Savings Analysis'!E8</f>
        <v>0</v>
      </c>
      <c r="D23" s="84">
        <f>C23-'5 Savings Analysis'!$L$69</f>
        <v>0</v>
      </c>
      <c r="E23" s="84">
        <f>C23-D23</f>
        <v>0</v>
      </c>
      <c r="F23" s="85" t="str">
        <f>IF(AND(C23=0, D23&gt;0),"New usage, no baseline #2 fuel oil usage",IFERROR((C23-D23)/C23,"No change"))</f>
        <v>No change</v>
      </c>
    </row>
    <row r="24" spans="2:15" s="16" customFormat="1" ht="15" customHeight="1" x14ac:dyDescent="0.3">
      <c r="B24" s="82" t="s">
        <v>565</v>
      </c>
      <c r="C24" s="83">
        <f>'5 Savings Analysis'!E9</f>
        <v>0</v>
      </c>
      <c r="D24" s="84">
        <f>C24-'5 Savings Analysis'!$M$69</f>
        <v>0</v>
      </c>
      <c r="E24" s="84">
        <f>C24-D24</f>
        <v>0</v>
      </c>
      <c r="F24" s="85" t="str">
        <f>IF(AND(C24=0, D24&gt;0),"New usage, no baseline #4 fuel oil usage",IFERROR((C24-D24)/C24,"No change"))</f>
        <v>No change</v>
      </c>
    </row>
    <row r="25" spans="2:15" s="16" customFormat="1" ht="15" customHeight="1" thickBot="1" x14ac:dyDescent="0.35">
      <c r="B25" s="86" t="s">
        <v>561</v>
      </c>
      <c r="C25" s="83">
        <f>'5 Savings Analysis'!E10</f>
        <v>0</v>
      </c>
      <c r="D25" s="87">
        <f>C25-'5 Savings Analysis'!$N$69</f>
        <v>0</v>
      </c>
      <c r="E25" s="87">
        <f>C25-D25</f>
        <v>0</v>
      </c>
      <c r="F25" s="85" t="str">
        <f>IF(AND(C25=0, D25&gt;0),"New usage, no baseline district steam usage",IFERROR((C25-D25)/C25,"No change"))</f>
        <v>No change</v>
      </c>
    </row>
    <row r="26" spans="2:15" s="16" customFormat="1" ht="15" customHeight="1" thickBot="1" x14ac:dyDescent="0.35">
      <c r="B26" s="88" t="s">
        <v>562</v>
      </c>
      <c r="C26" s="89">
        <f>'5 Savings Analysis'!G11</f>
        <v>0</v>
      </c>
      <c r="D26" s="90">
        <f>C26-E26</f>
        <v>0</v>
      </c>
      <c r="E26" s="90">
        <f>'5 Savings Analysis'!$O$69</f>
        <v>0</v>
      </c>
      <c r="F26" s="91" t="str">
        <f>IFERROR(E26/C26,"")</f>
        <v/>
      </c>
    </row>
    <row r="27" spans="2:15" s="16" customFormat="1" ht="15" customHeight="1" x14ac:dyDescent="0.3">
      <c r="B27" s="74"/>
      <c r="C27" s="92"/>
      <c r="D27" s="93"/>
      <c r="E27" s="93"/>
      <c r="F27" s="94"/>
    </row>
    <row r="28" spans="2:15" s="16" customFormat="1" ht="15" customHeight="1" x14ac:dyDescent="0.3">
      <c r="B28" s="78" t="s">
        <v>595</v>
      </c>
      <c r="C28" s="79"/>
      <c r="D28" s="80"/>
      <c r="E28" s="80"/>
      <c r="F28" s="85"/>
    </row>
    <row r="29" spans="2:15" s="16" customFormat="1" ht="15" customHeight="1" x14ac:dyDescent="0.3">
      <c r="B29" s="82" t="s">
        <v>0</v>
      </c>
      <c r="C29" s="95">
        <f>C21*'5 Savings Analysis'!F6</f>
        <v>0</v>
      </c>
      <c r="D29" s="96">
        <f>D21*'5 Savings Analysis'!F6</f>
        <v>0</v>
      </c>
      <c r="E29" s="96">
        <f t="shared" ref="E29:E34" si="0">C29-D29</f>
        <v>0</v>
      </c>
      <c r="F29" s="85" t="str">
        <f>IF(AND(C29=0, D29&gt;0),"New usage, no baseline electricity usage",IFERROR((C29-D29)/C29,"No change"))</f>
        <v>No change</v>
      </c>
    </row>
    <row r="30" spans="2:15" s="16" customFormat="1" ht="15" customHeight="1" x14ac:dyDescent="0.3">
      <c r="B30" s="82" t="s">
        <v>549</v>
      </c>
      <c r="C30" s="95">
        <f>C22*'5 Savings Analysis'!F7</f>
        <v>0</v>
      </c>
      <c r="D30" s="96">
        <f>D22*'5 Savings Analysis'!F7</f>
        <v>0</v>
      </c>
      <c r="E30" s="96">
        <f t="shared" si="0"/>
        <v>0</v>
      </c>
      <c r="F30" s="85" t="str">
        <f>IF(AND(C30=0, D30&gt;0),"New usage, no baseline natural gas usage",IFERROR((C30-D30)/C30,"No change"))</f>
        <v>No change</v>
      </c>
    </row>
    <row r="31" spans="2:15" s="16" customFormat="1" ht="15" customHeight="1" x14ac:dyDescent="0.3">
      <c r="B31" s="82" t="s">
        <v>534</v>
      </c>
      <c r="C31" s="95">
        <f>C23*'5 Savings Analysis'!F8</f>
        <v>0</v>
      </c>
      <c r="D31" s="96">
        <f>D23*'5 Savings Analysis'!F8</f>
        <v>0</v>
      </c>
      <c r="E31" s="96">
        <f t="shared" si="0"/>
        <v>0</v>
      </c>
      <c r="F31" s="85" t="str">
        <f>IF(AND(C31=0, D31&gt;0),"New usage, no baseline #2 fuel usage",IFERROR((C31-D31)/C31,"No change"))</f>
        <v>No change</v>
      </c>
    </row>
    <row r="32" spans="2:15" s="16" customFormat="1" ht="15" customHeight="1" x14ac:dyDescent="0.3">
      <c r="B32" s="82" t="s">
        <v>535</v>
      </c>
      <c r="C32" s="95">
        <f>C24*'5 Savings Analysis'!F9</f>
        <v>0</v>
      </c>
      <c r="D32" s="96">
        <f>D24*'5 Savings Analysis'!F9</f>
        <v>0</v>
      </c>
      <c r="E32" s="96">
        <f t="shared" si="0"/>
        <v>0</v>
      </c>
      <c r="F32" s="85" t="str">
        <f>IF(AND(C32=0, D32&gt;0),"New usage, no baseline #4 fuel oil usage",IFERROR((C32-D32)/C32,"No change"))</f>
        <v>No change</v>
      </c>
    </row>
    <row r="33" spans="2:8" s="16" customFormat="1" ht="15" customHeight="1" thickBot="1" x14ac:dyDescent="0.35">
      <c r="B33" s="86" t="s">
        <v>545</v>
      </c>
      <c r="C33" s="97">
        <f>C25*'5 Savings Analysis'!F10</f>
        <v>0</v>
      </c>
      <c r="D33" s="98">
        <f>D25*'5 Savings Analysis'!F10</f>
        <v>0</v>
      </c>
      <c r="E33" s="98">
        <f t="shared" si="0"/>
        <v>0</v>
      </c>
      <c r="F33" s="85" t="str">
        <f>IF(AND(C33=0, D33&gt;0),"New usage, no baseline district steam usage",IFERROR((C33-D33)/C33,"No change"))</f>
        <v>No change</v>
      </c>
    </row>
    <row r="34" spans="2:8" s="16" customFormat="1" ht="15" customHeight="1" thickBot="1" x14ac:dyDescent="0.35">
      <c r="B34" s="88" t="s">
        <v>563</v>
      </c>
      <c r="C34" s="99">
        <f>SUM(C29:C33)</f>
        <v>0</v>
      </c>
      <c r="D34" s="99">
        <f>SUM(D29:D33)</f>
        <v>0</v>
      </c>
      <c r="E34" s="100">
        <f t="shared" si="0"/>
        <v>0</v>
      </c>
      <c r="F34" s="91" t="str">
        <f>IFERROR(E34/C34,"")</f>
        <v/>
      </c>
    </row>
    <row r="35" spans="2:8" s="16" customFormat="1" ht="15" customHeight="1" thickBot="1" x14ac:dyDescent="0.35">
      <c r="B35" s="101"/>
      <c r="C35" s="102"/>
      <c r="D35" s="103"/>
      <c r="E35" s="103"/>
      <c r="F35" s="104"/>
      <c r="G35" s="39"/>
    </row>
    <row r="36" spans="2:8" s="16" customFormat="1" ht="15" customHeight="1" thickBot="1" x14ac:dyDescent="0.35">
      <c r="B36" s="105" t="s">
        <v>597</v>
      </c>
      <c r="C36" s="106"/>
      <c r="D36" s="107"/>
      <c r="E36" s="108">
        <f>'5 Savings Analysis'!U69</f>
        <v>0</v>
      </c>
      <c r="F36" s="91"/>
      <c r="G36" s="39"/>
    </row>
    <row r="37" spans="2:8" s="16" customFormat="1" ht="15" customHeight="1" thickBot="1" x14ac:dyDescent="0.35">
      <c r="B37" s="101"/>
      <c r="C37" s="102"/>
      <c r="D37" s="103"/>
      <c r="E37" s="103"/>
      <c r="F37" s="104"/>
      <c r="G37" s="7"/>
    </row>
    <row r="38" spans="2:8" s="16" customFormat="1" ht="15" customHeight="1" x14ac:dyDescent="0.3">
      <c r="B38" s="70" t="s">
        <v>598</v>
      </c>
      <c r="C38" s="109"/>
      <c r="D38" s="109"/>
      <c r="E38" s="109"/>
      <c r="F38" s="110"/>
    </row>
    <row r="39" spans="2:8" s="16" customFormat="1" ht="15" customHeight="1" x14ac:dyDescent="0.3">
      <c r="B39" s="160" t="s">
        <v>690</v>
      </c>
      <c r="C39" s="161" t="str">
        <f>'6 Local Law 97 Analysis'!D18</f>
        <v/>
      </c>
      <c r="D39" s="161" t="e">
        <f>'6 Local Law 97 Analysis'!D22</f>
        <v>#VALUE!</v>
      </c>
      <c r="E39" s="161" t="str">
        <f>IFERROR(C39-D39,"")</f>
        <v/>
      </c>
      <c r="F39" s="162" t="e">
        <f>IF(AND(C39=0, D39=0),"No penalty",IFERROR((C39-D39)/C39,"No penalty"))</f>
        <v>#VALUE!</v>
      </c>
      <c r="H39" s="7"/>
    </row>
    <row r="40" spans="2:8" s="16" customFormat="1" ht="15" customHeight="1" x14ac:dyDescent="0.3">
      <c r="B40" s="160" t="s">
        <v>691</v>
      </c>
      <c r="C40" s="161" t="str">
        <f>'6 Local Law 97 Analysis'!E18</f>
        <v/>
      </c>
      <c r="D40" s="161" t="e">
        <f>'6 Local Law 97 Analysis'!E22</f>
        <v>#VALUE!</v>
      </c>
      <c r="E40" s="161" t="str">
        <f t="shared" ref="E40:E42" si="1">IFERROR(C40-D40,"")</f>
        <v/>
      </c>
      <c r="F40" s="162" t="e">
        <f>IF(AND(C40=0, D40=0),"No penalty",IFERROR((C40-D40)/C40,"No penalty"))</f>
        <v>#VALUE!</v>
      </c>
      <c r="H40" s="7"/>
    </row>
    <row r="41" spans="2:8" s="16" customFormat="1" ht="15" customHeight="1" x14ac:dyDescent="0.3">
      <c r="B41" s="160" t="s">
        <v>692</v>
      </c>
      <c r="C41" s="161" t="str">
        <f>'6 Local Law 97 Analysis'!F18</f>
        <v/>
      </c>
      <c r="D41" s="161" t="e">
        <f>'6 Local Law 97 Analysis'!F22</f>
        <v>#VALUE!</v>
      </c>
      <c r="E41" s="161" t="str">
        <f t="shared" si="1"/>
        <v/>
      </c>
      <c r="F41" s="162" t="e">
        <f>IF(AND(C41=0, D41=0),"No penalty",IFERROR((C41-D41)/C41,"No penalty"))</f>
        <v>#VALUE!</v>
      </c>
      <c r="H41" s="29"/>
    </row>
    <row r="42" spans="2:8" s="16" customFormat="1" ht="15" customHeight="1" x14ac:dyDescent="0.3">
      <c r="B42" s="160" t="s">
        <v>693</v>
      </c>
      <c r="C42" s="161" t="str">
        <f>'6 Local Law 97 Analysis'!G18</f>
        <v/>
      </c>
      <c r="D42" s="161" t="e">
        <f>'6 Local Law 97 Analysis'!G22</f>
        <v>#VALUE!</v>
      </c>
      <c r="E42" s="161" t="str">
        <f t="shared" si="1"/>
        <v/>
      </c>
      <c r="F42" s="162" t="e">
        <f>IF(AND(C42=0, D42=0),"No penalty",IFERROR((C42-D42)/C42,"No penalty"))</f>
        <v>#VALUE!</v>
      </c>
      <c r="H42" s="29"/>
    </row>
    <row r="43" spans="2:8" s="16" customFormat="1" ht="15" customHeight="1" thickBot="1" x14ac:dyDescent="0.35">
      <c r="B43" s="101"/>
      <c r="C43" s="102"/>
      <c r="D43" s="103"/>
      <c r="E43" s="103"/>
      <c r="F43" s="104"/>
      <c r="H43" s="7"/>
    </row>
    <row r="44" spans="2:8" s="16" customFormat="1" ht="15" customHeight="1" x14ac:dyDescent="0.3">
      <c r="B44" s="222" t="s">
        <v>567</v>
      </c>
      <c r="C44" s="223"/>
      <c r="D44" s="224"/>
      <c r="E44" s="45"/>
      <c r="F44" s="46"/>
      <c r="H44" s="7"/>
    </row>
    <row r="45" spans="2:8" s="16" customFormat="1" ht="15" customHeight="1" x14ac:dyDescent="0.3">
      <c r="B45" s="220" t="s">
        <v>566</v>
      </c>
      <c r="C45" s="221"/>
      <c r="D45" s="221"/>
      <c r="E45" s="47">
        <f>E34+E36</f>
        <v>0</v>
      </c>
      <c r="F45" s="48"/>
      <c r="H45" s="7"/>
    </row>
    <row r="46" spans="2:8" s="16" customFormat="1" ht="15" customHeight="1" x14ac:dyDescent="0.3">
      <c r="B46" s="220" t="s">
        <v>695</v>
      </c>
      <c r="C46" s="221"/>
      <c r="D46" s="221"/>
      <c r="E46" s="47">
        <f>IFERROR($E$34+$E$36+E39,0)</f>
        <v>0</v>
      </c>
      <c r="F46" s="48"/>
      <c r="G46" s="29"/>
      <c r="H46" s="29"/>
    </row>
    <row r="47" spans="2:8" s="16" customFormat="1" ht="15" customHeight="1" x14ac:dyDescent="0.3">
      <c r="B47" s="220" t="s">
        <v>696</v>
      </c>
      <c r="C47" s="221"/>
      <c r="D47" s="221"/>
      <c r="E47" s="47">
        <f t="shared" ref="E47:E49" si="2">IFERROR($E$34+$E$36+E40,0)</f>
        <v>0</v>
      </c>
      <c r="F47" s="48"/>
      <c r="G47" s="29"/>
      <c r="H47" s="29"/>
    </row>
    <row r="48" spans="2:8" s="16" customFormat="1" ht="15" customHeight="1" x14ac:dyDescent="0.3">
      <c r="B48" s="220" t="s">
        <v>697</v>
      </c>
      <c r="C48" s="221"/>
      <c r="D48" s="221"/>
      <c r="E48" s="47">
        <f t="shared" si="2"/>
        <v>0</v>
      </c>
      <c r="F48" s="163"/>
      <c r="G48" s="29"/>
      <c r="H48" s="29"/>
    </row>
    <row r="49" spans="2:8" s="16" customFormat="1" ht="15" customHeight="1" thickBot="1" x14ac:dyDescent="0.35">
      <c r="B49" s="218" t="s">
        <v>698</v>
      </c>
      <c r="C49" s="219"/>
      <c r="D49" s="219"/>
      <c r="E49" s="164">
        <f t="shared" si="2"/>
        <v>0</v>
      </c>
      <c r="F49" s="49"/>
      <c r="H49" s="7"/>
    </row>
    <row r="50" spans="2:8" s="16" customFormat="1" ht="14.7" customHeight="1" x14ac:dyDescent="0.3">
      <c r="H50" s="7"/>
    </row>
    <row r="51" spans="2:8" s="16" customFormat="1" ht="36" customHeight="1" x14ac:dyDescent="0.3">
      <c r="B51" s="261" t="s">
        <v>782</v>
      </c>
      <c r="C51" s="261"/>
      <c r="D51" s="261"/>
      <c r="E51" s="261"/>
      <c r="F51" s="261"/>
    </row>
    <row r="52" spans="2:8" s="16" customFormat="1" ht="31.95" customHeight="1" x14ac:dyDescent="0.3">
      <c r="B52" s="239" t="s">
        <v>783</v>
      </c>
      <c r="C52" s="239"/>
      <c r="D52" s="262" t="s">
        <v>581</v>
      </c>
      <c r="E52" s="262"/>
      <c r="F52" s="171"/>
    </row>
    <row r="53" spans="2:8" s="16" customFormat="1" ht="18" customHeight="1" x14ac:dyDescent="0.3">
      <c r="B53" s="261" t="s">
        <v>784</v>
      </c>
      <c r="C53" s="261"/>
      <c r="D53" s="261"/>
      <c r="E53" s="261"/>
      <c r="F53" s="261"/>
    </row>
    <row r="54" spans="2:8" ht="36" customHeight="1" x14ac:dyDescent="0.3">
      <c r="B54" s="261" t="s">
        <v>785</v>
      </c>
      <c r="C54" s="261"/>
      <c r="D54" s="261"/>
      <c r="E54" s="261"/>
      <c r="F54" s="261"/>
    </row>
    <row r="55" spans="2:8" x14ac:dyDescent="0.3">
      <c r="B55" s="50"/>
    </row>
  </sheetData>
  <sheetProtection algorithmName="SHA-512" hashValue="Z3f4hWQMMOH7GdmMerxTstk6PaGL0XrMQ+9YxHqr4dwEFNl2FuDy8JRSrYI6iAVpFi0VowLkV1YpKihY9iUNOg==" saltValue="YtAcqKT3ahuZnqDIIHNeQA==" spinCount="100000" sheet="1" objects="1" scenarios="1"/>
  <protectedRanges>
    <protectedRange sqref="C10:F14" name="Range1"/>
  </protectedRanges>
  <mergeCells count="19">
    <mergeCell ref="B51:F51"/>
    <mergeCell ref="B52:C52"/>
    <mergeCell ref="B53:F53"/>
    <mergeCell ref="B54:F54"/>
    <mergeCell ref="D52:E52"/>
    <mergeCell ref="B9:F9"/>
    <mergeCell ref="C13:F13"/>
    <mergeCell ref="C12:F12"/>
    <mergeCell ref="C11:F11"/>
    <mergeCell ref="C10:F10"/>
    <mergeCell ref="B18:F18"/>
    <mergeCell ref="C14:F14"/>
    <mergeCell ref="B15:F15"/>
    <mergeCell ref="B49:D49"/>
    <mergeCell ref="B47:D47"/>
    <mergeCell ref="B46:D46"/>
    <mergeCell ref="B45:D45"/>
    <mergeCell ref="B44:D44"/>
    <mergeCell ref="B48:D48"/>
  </mergeCells>
  <hyperlinks>
    <hyperlink ref="D52" r:id="rId1" xr:uid="{7CA58039-729A-4037-BA33-69E3E3DB1EFE}"/>
  </hyperlinks>
  <pageMargins left="0.7" right="0.7" top="0.75" bottom="0.75" header="0.3" footer="0.3"/>
  <pageSetup scale="56" orientation="portrait" horizontalDpi="1200" verticalDpi="1200"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6DBA3-1A89-42FF-B919-94FAF7222074}">
  <sheetPr>
    <tabColor theme="0" tint="-0.249977111117893"/>
  </sheetPr>
  <dimension ref="A1:Z82"/>
  <sheetViews>
    <sheetView showGridLines="0" zoomScale="70" zoomScaleNormal="70" workbookViewId="0">
      <selection activeCell="J22" sqref="J22"/>
    </sheetView>
  </sheetViews>
  <sheetFormatPr defaultColWidth="0" defaultRowHeight="14.4" zeroHeight="1" x14ac:dyDescent="0.3"/>
  <cols>
    <col min="1" max="1" width="2" customWidth="1"/>
    <col min="2" max="2" width="26.5546875" customWidth="1"/>
    <col min="3" max="3" width="32.44140625" customWidth="1"/>
    <col min="4" max="8" width="15.33203125" customWidth="1"/>
    <col min="9" max="9" width="5.6640625" customWidth="1"/>
    <col min="10" max="10" width="20.6640625" customWidth="1"/>
    <col min="11" max="13" width="23.6640625" customWidth="1"/>
    <col min="14" max="14" width="11.33203125" customWidth="1"/>
    <col min="15" max="15" width="22.44140625" customWidth="1"/>
    <col min="16" max="18" width="10.33203125" customWidth="1"/>
    <col min="19" max="19" width="11.33203125" customWidth="1"/>
    <col min="20" max="20" width="22.44140625" customWidth="1"/>
    <col min="21" max="23" width="10.33203125" customWidth="1"/>
    <col min="24" max="26" width="6.44140625" customWidth="1"/>
    <col min="27" max="16384" width="8.6640625" hidden="1"/>
  </cols>
  <sheetData>
    <row r="1" spans="2:23" x14ac:dyDescent="0.3"/>
    <row r="2" spans="2:23" x14ac:dyDescent="0.3">
      <c r="B2" s="184" t="s">
        <v>737</v>
      </c>
      <c r="C2" s="185"/>
      <c r="D2" s="185"/>
      <c r="E2" s="185"/>
      <c r="F2" s="185"/>
      <c r="G2" s="185"/>
      <c r="H2" s="185"/>
      <c r="I2" s="185"/>
      <c r="J2" s="185"/>
      <c r="K2" s="185"/>
      <c r="L2" s="185"/>
      <c r="M2" s="185"/>
      <c r="N2" s="185"/>
      <c r="O2" s="185"/>
      <c r="P2" s="185"/>
      <c r="Q2" s="185"/>
      <c r="R2" s="185"/>
      <c r="S2" s="185"/>
      <c r="T2" s="185"/>
      <c r="U2" s="185"/>
      <c r="V2" s="185"/>
      <c r="W2" s="185"/>
    </row>
    <row r="3" spans="2:23" x14ac:dyDescent="0.3"/>
    <row r="4" spans="2:23" x14ac:dyDescent="0.3">
      <c r="B4" s="1" t="s">
        <v>738</v>
      </c>
      <c r="J4" s="186"/>
      <c r="K4" s="186"/>
      <c r="L4" s="186"/>
      <c r="M4" s="186"/>
      <c r="N4" s="186"/>
      <c r="O4" s="186"/>
      <c r="P4" s="186"/>
    </row>
    <row r="5" spans="2:23" ht="14.7" customHeight="1" x14ac:dyDescent="0.3">
      <c r="B5" s="1"/>
      <c r="J5" s="186"/>
      <c r="K5" s="186"/>
      <c r="L5" s="186"/>
      <c r="M5" s="186"/>
      <c r="N5" s="186"/>
      <c r="O5" s="186"/>
      <c r="P5" s="186"/>
    </row>
    <row r="6" spans="2:23" ht="58.2" customHeight="1" x14ac:dyDescent="0.3">
      <c r="C6" s="187" t="s">
        <v>739</v>
      </c>
      <c r="D6" s="240" t="s">
        <v>740</v>
      </c>
      <c r="E6" s="240"/>
      <c r="F6" s="240"/>
      <c r="G6" s="240"/>
      <c r="H6" s="240"/>
      <c r="L6" s="186"/>
      <c r="M6" s="186"/>
      <c r="N6" s="186"/>
      <c r="O6" s="186"/>
      <c r="P6" s="186"/>
    </row>
    <row r="7" spans="2:23" ht="28.8" x14ac:dyDescent="0.3">
      <c r="B7" s="188" t="s">
        <v>741</v>
      </c>
      <c r="C7" s="188" t="s">
        <v>742</v>
      </c>
      <c r="D7" s="188" t="s">
        <v>549</v>
      </c>
      <c r="E7" s="188" t="s">
        <v>743</v>
      </c>
      <c r="F7" s="188" t="s">
        <v>744</v>
      </c>
      <c r="G7" s="188" t="s">
        <v>745</v>
      </c>
      <c r="H7" s="188" t="s">
        <v>746</v>
      </c>
      <c r="J7" s="189" t="s">
        <v>747</v>
      </c>
      <c r="L7" s="186"/>
      <c r="M7" s="186"/>
      <c r="N7" s="186"/>
      <c r="O7" s="186"/>
      <c r="P7" s="186"/>
    </row>
    <row r="8" spans="2:23" x14ac:dyDescent="0.3">
      <c r="B8" s="190">
        <v>2024</v>
      </c>
      <c r="C8" s="191">
        <f>'5 Savings Analysis'!$J$69/1000*'Social Cost Value Analysis'!C45</f>
        <v>0</v>
      </c>
      <c r="D8" s="191">
        <f>'5 Savings Analysis'!$K$69/10*'Social Cost Value Analysis'!D45</f>
        <v>0</v>
      </c>
      <c r="E8" s="192" t="s">
        <v>587</v>
      </c>
      <c r="F8" s="191">
        <f>SUM(('5 Savings Analysis'!$L$69*Backup!$J$6/1000000),('5 Savings Analysis'!$M$69*Backup!$J$7/1000000))*F45</f>
        <v>0</v>
      </c>
      <c r="G8" s="192" t="s">
        <v>587</v>
      </c>
      <c r="H8" s="192" t="s">
        <v>587</v>
      </c>
      <c r="J8" s="193">
        <f t="shared" ref="J8:J34" si="0">SUM(C8:H8)</f>
        <v>0</v>
      </c>
    </row>
    <row r="9" spans="2:23" x14ac:dyDescent="0.3">
      <c r="B9" s="190">
        <v>2025</v>
      </c>
      <c r="C9" s="191">
        <f>'5 Savings Analysis'!$J$69/1000*'Social Cost Value Analysis'!C46</f>
        <v>0</v>
      </c>
      <c r="D9" s="191">
        <f>'5 Savings Analysis'!$K$69/10*'Social Cost Value Analysis'!D46</f>
        <v>0</v>
      </c>
      <c r="E9" s="192" t="s">
        <v>587</v>
      </c>
      <c r="F9" s="191">
        <f>SUM(('5 Savings Analysis'!$L$69*Backup!$J$6/1000000),('5 Savings Analysis'!$M$69*Backup!$J$7/1000000))*F46</f>
        <v>0</v>
      </c>
      <c r="G9" s="192" t="s">
        <v>587</v>
      </c>
      <c r="H9" s="192" t="s">
        <v>587</v>
      </c>
      <c r="J9" s="193">
        <f t="shared" si="0"/>
        <v>0</v>
      </c>
    </row>
    <row r="10" spans="2:23" x14ac:dyDescent="0.3">
      <c r="B10" s="190">
        <v>2026</v>
      </c>
      <c r="C10" s="191">
        <f>'5 Savings Analysis'!$J$69/1000*'Social Cost Value Analysis'!C47</f>
        <v>0</v>
      </c>
      <c r="D10" s="191">
        <f>'5 Savings Analysis'!$K$69/10*'Social Cost Value Analysis'!D47</f>
        <v>0</v>
      </c>
      <c r="E10" s="192" t="s">
        <v>587</v>
      </c>
      <c r="F10" s="192" t="s">
        <v>587</v>
      </c>
      <c r="G10" s="191">
        <f>SUM(('5 Savings Analysis'!$L$69*Backup!$J$6/1000000),('5 Savings Analysis'!$M$69*Backup!$J$7/1000000))*G47</f>
        <v>0</v>
      </c>
      <c r="H10" s="192" t="s">
        <v>587</v>
      </c>
      <c r="J10" s="193">
        <f t="shared" si="0"/>
        <v>0</v>
      </c>
    </row>
    <row r="11" spans="2:23" x14ac:dyDescent="0.3">
      <c r="B11" s="190">
        <v>2027</v>
      </c>
      <c r="C11" s="191">
        <f>'5 Savings Analysis'!$J$69/1000*'Social Cost Value Analysis'!C48</f>
        <v>0</v>
      </c>
      <c r="D11" s="191">
        <f>'5 Savings Analysis'!$K$69/10*'Social Cost Value Analysis'!D48</f>
        <v>0</v>
      </c>
      <c r="E11" s="192" t="s">
        <v>587</v>
      </c>
      <c r="F11" s="192" t="s">
        <v>587</v>
      </c>
      <c r="G11" s="191">
        <f>SUM(('5 Savings Analysis'!$L$69*Backup!$J$6/1000000),('5 Savings Analysis'!$M$69*Backup!$J$7/1000000))*G48</f>
        <v>0</v>
      </c>
      <c r="H11" s="192" t="s">
        <v>587</v>
      </c>
      <c r="J11" s="193">
        <f t="shared" si="0"/>
        <v>0</v>
      </c>
    </row>
    <row r="12" spans="2:23" x14ac:dyDescent="0.3">
      <c r="B12" s="190">
        <v>2028</v>
      </c>
      <c r="C12" s="191">
        <f>'5 Savings Analysis'!$J$69/1000*'Social Cost Value Analysis'!C49</f>
        <v>0</v>
      </c>
      <c r="D12" s="191">
        <f>'5 Savings Analysis'!$K$69/10*'Social Cost Value Analysis'!D49</f>
        <v>0</v>
      </c>
      <c r="E12" s="192" t="s">
        <v>587</v>
      </c>
      <c r="F12" s="192" t="s">
        <v>587</v>
      </c>
      <c r="G12" s="191">
        <f>SUM(('5 Savings Analysis'!$L$69*Backup!$J$6/1000000),('5 Savings Analysis'!$M$69*Backup!$J$7/1000000))*G49</f>
        <v>0</v>
      </c>
      <c r="H12" s="192" t="s">
        <v>587</v>
      </c>
      <c r="J12" s="193">
        <f t="shared" si="0"/>
        <v>0</v>
      </c>
    </row>
    <row r="13" spans="2:23" x14ac:dyDescent="0.3">
      <c r="B13" s="190">
        <v>2029</v>
      </c>
      <c r="C13" s="191">
        <f>'5 Savings Analysis'!$J$69/1000*'Social Cost Value Analysis'!C50</f>
        <v>0</v>
      </c>
      <c r="D13" s="191">
        <f>'5 Savings Analysis'!$K$69/10*'Social Cost Value Analysis'!D50</f>
        <v>0</v>
      </c>
      <c r="E13" s="192" t="s">
        <v>587</v>
      </c>
      <c r="F13" s="192" t="s">
        <v>587</v>
      </c>
      <c r="G13" s="191">
        <f>SUM(('5 Savings Analysis'!$L$69*Backup!$J$6/1000000),('5 Savings Analysis'!$M$69*Backup!$J$7/1000000))*G50</f>
        <v>0</v>
      </c>
      <c r="H13" s="192" t="s">
        <v>587</v>
      </c>
      <c r="J13" s="193">
        <f t="shared" si="0"/>
        <v>0</v>
      </c>
    </row>
    <row r="14" spans="2:23" x14ac:dyDescent="0.3">
      <c r="B14" s="190">
        <v>2030</v>
      </c>
      <c r="C14" s="191">
        <f>'5 Savings Analysis'!$J$69/1000*'Social Cost Value Analysis'!C51</f>
        <v>0</v>
      </c>
      <c r="D14" s="191">
        <f>'5 Savings Analysis'!$K$69/10*'Social Cost Value Analysis'!D51</f>
        <v>0</v>
      </c>
      <c r="E14" s="192" t="s">
        <v>587</v>
      </c>
      <c r="F14" s="192" t="s">
        <v>587</v>
      </c>
      <c r="G14" s="191">
        <f>SUM(('5 Savings Analysis'!$L$69*Backup!$J$6/1000000),('5 Savings Analysis'!$M$69*Backup!$J$7/1000000))*G51</f>
        <v>0</v>
      </c>
      <c r="H14" s="192" t="s">
        <v>587</v>
      </c>
      <c r="J14" s="193">
        <f t="shared" si="0"/>
        <v>0</v>
      </c>
    </row>
    <row r="15" spans="2:23" x14ac:dyDescent="0.3">
      <c r="B15" s="190">
        <v>2031</v>
      </c>
      <c r="C15" s="191">
        <f>'5 Savings Analysis'!$J$69/1000*'Social Cost Value Analysis'!C52</f>
        <v>0</v>
      </c>
      <c r="D15" s="191">
        <f>'5 Savings Analysis'!$K$69/10*'Social Cost Value Analysis'!D52</f>
        <v>0</v>
      </c>
      <c r="E15" s="192" t="s">
        <v>587</v>
      </c>
      <c r="F15" s="192" t="s">
        <v>587</v>
      </c>
      <c r="G15" s="192" t="s">
        <v>587</v>
      </c>
      <c r="H15" s="191">
        <f>SUM(('5 Savings Analysis'!$L$69*Backup!$J$6/1000000),('5 Savings Analysis'!$M$69*Backup!$J$7/1000000))*H52</f>
        <v>0</v>
      </c>
      <c r="J15" s="193">
        <f t="shared" si="0"/>
        <v>0</v>
      </c>
    </row>
    <row r="16" spans="2:23" x14ac:dyDescent="0.3">
      <c r="B16" s="190">
        <v>2032</v>
      </c>
      <c r="C16" s="191">
        <f>'5 Savings Analysis'!$J$69/1000*'Social Cost Value Analysis'!C53</f>
        <v>0</v>
      </c>
      <c r="D16" s="191">
        <f>'5 Savings Analysis'!$K$69/10*'Social Cost Value Analysis'!D53</f>
        <v>0</v>
      </c>
      <c r="E16" s="192" t="s">
        <v>587</v>
      </c>
      <c r="F16" s="192" t="s">
        <v>587</v>
      </c>
      <c r="G16" s="192" t="s">
        <v>587</v>
      </c>
      <c r="H16" s="191">
        <f>SUM(('5 Savings Analysis'!$L$69*Backup!$J$6/1000000),('5 Savings Analysis'!$M$69*Backup!$J$7/1000000))*H53</f>
        <v>0</v>
      </c>
      <c r="J16" s="193">
        <f t="shared" si="0"/>
        <v>0</v>
      </c>
    </row>
    <row r="17" spans="2:10" x14ac:dyDescent="0.3">
      <c r="B17" s="190">
        <v>2033</v>
      </c>
      <c r="C17" s="191">
        <f>'5 Savings Analysis'!$J$69/1000*'Social Cost Value Analysis'!C54</f>
        <v>0</v>
      </c>
      <c r="D17" s="191">
        <f>'5 Savings Analysis'!$K$69/10*'Social Cost Value Analysis'!D54</f>
        <v>0</v>
      </c>
      <c r="E17" s="192" t="s">
        <v>587</v>
      </c>
      <c r="F17" s="192" t="s">
        <v>587</v>
      </c>
      <c r="G17" s="192" t="s">
        <v>587</v>
      </c>
      <c r="H17" s="191">
        <f>SUM(('5 Savings Analysis'!$L$69*Backup!$J$6/1000000),('5 Savings Analysis'!$M$69*Backup!$J$7/1000000))*H54</f>
        <v>0</v>
      </c>
      <c r="J17" s="193">
        <f t="shared" si="0"/>
        <v>0</v>
      </c>
    </row>
    <row r="18" spans="2:10" x14ac:dyDescent="0.3">
      <c r="B18" s="190">
        <v>2034</v>
      </c>
      <c r="C18" s="191">
        <f>'5 Savings Analysis'!$J$69/1000*'Social Cost Value Analysis'!C55</f>
        <v>0</v>
      </c>
      <c r="D18" s="191">
        <f>'5 Savings Analysis'!$K$69/10*'Social Cost Value Analysis'!D55</f>
        <v>0</v>
      </c>
      <c r="E18" s="192" t="s">
        <v>587</v>
      </c>
      <c r="F18" s="192" t="s">
        <v>587</v>
      </c>
      <c r="G18" s="192" t="s">
        <v>587</v>
      </c>
      <c r="H18" s="191">
        <f>SUM(('5 Savings Analysis'!$L$69*Backup!$J$6/1000000),('5 Savings Analysis'!$M$69*Backup!$J$7/1000000))*H55</f>
        <v>0</v>
      </c>
      <c r="J18" s="193">
        <f t="shared" si="0"/>
        <v>0</v>
      </c>
    </row>
    <row r="19" spans="2:10" x14ac:dyDescent="0.3">
      <c r="B19" s="190">
        <v>2035</v>
      </c>
      <c r="C19" s="191">
        <f>'5 Savings Analysis'!$J$69/1000*'Social Cost Value Analysis'!C56</f>
        <v>0</v>
      </c>
      <c r="D19" s="191">
        <f>'5 Savings Analysis'!$K$69/10*'Social Cost Value Analysis'!D56</f>
        <v>0</v>
      </c>
      <c r="E19" s="192" t="s">
        <v>587</v>
      </c>
      <c r="F19" s="192" t="s">
        <v>587</v>
      </c>
      <c r="G19" s="192" t="s">
        <v>587</v>
      </c>
      <c r="H19" s="191">
        <f>SUM(('5 Savings Analysis'!$L$69*Backup!$J$6/1000000),('5 Savings Analysis'!$M$69*Backup!$J$7/1000000))*H56</f>
        <v>0</v>
      </c>
      <c r="J19" s="193">
        <f t="shared" si="0"/>
        <v>0</v>
      </c>
    </row>
    <row r="20" spans="2:10" x14ac:dyDescent="0.3">
      <c r="B20" s="190">
        <v>2036</v>
      </c>
      <c r="C20" s="191">
        <f>'5 Savings Analysis'!$J$69/1000*'Social Cost Value Analysis'!C57</f>
        <v>0</v>
      </c>
      <c r="D20" s="191">
        <f>'5 Savings Analysis'!$K$69/10*'Social Cost Value Analysis'!D57</f>
        <v>0</v>
      </c>
      <c r="E20" s="192" t="s">
        <v>587</v>
      </c>
      <c r="F20" s="192" t="s">
        <v>587</v>
      </c>
      <c r="G20" s="192" t="s">
        <v>587</v>
      </c>
      <c r="H20" s="191">
        <f>SUM(('5 Savings Analysis'!$L$69*Backup!$J$6/1000000),('5 Savings Analysis'!$M$69*Backup!$J$7/1000000))*H57</f>
        <v>0</v>
      </c>
      <c r="J20" s="193">
        <f t="shared" si="0"/>
        <v>0</v>
      </c>
    </row>
    <row r="21" spans="2:10" x14ac:dyDescent="0.3">
      <c r="B21" s="190">
        <v>2037</v>
      </c>
      <c r="C21" s="191">
        <f>'5 Savings Analysis'!$J$69/1000*'Social Cost Value Analysis'!C58</f>
        <v>0</v>
      </c>
      <c r="D21" s="191">
        <f>'5 Savings Analysis'!$K$69/10*'Social Cost Value Analysis'!D58</f>
        <v>0</v>
      </c>
      <c r="E21" s="192" t="s">
        <v>587</v>
      </c>
      <c r="F21" s="192" t="s">
        <v>587</v>
      </c>
      <c r="G21" s="192" t="s">
        <v>587</v>
      </c>
      <c r="H21" s="191">
        <f>SUM(('5 Savings Analysis'!$L$69*Backup!$J$6/1000000),('5 Savings Analysis'!$M$69*Backup!$J$7/1000000))*H58</f>
        <v>0</v>
      </c>
      <c r="J21" s="193">
        <f t="shared" si="0"/>
        <v>0</v>
      </c>
    </row>
    <row r="22" spans="2:10" x14ac:dyDescent="0.3">
      <c r="B22" s="190">
        <v>2038</v>
      </c>
      <c r="C22" s="191">
        <f>'5 Savings Analysis'!$J$69/1000*'Social Cost Value Analysis'!C59</f>
        <v>0</v>
      </c>
      <c r="D22" s="191">
        <f>'5 Savings Analysis'!$K$69/10*'Social Cost Value Analysis'!D59</f>
        <v>0</v>
      </c>
      <c r="E22" s="192" t="s">
        <v>587</v>
      </c>
      <c r="F22" s="192" t="s">
        <v>587</v>
      </c>
      <c r="G22" s="192" t="s">
        <v>587</v>
      </c>
      <c r="H22" s="191">
        <f>SUM(('5 Savings Analysis'!$L$69*Backup!$J$6/1000000),('5 Savings Analysis'!$M$69*Backup!$J$7/1000000))*H59</f>
        <v>0</v>
      </c>
      <c r="J22" s="193">
        <f t="shared" si="0"/>
        <v>0</v>
      </c>
    </row>
    <row r="23" spans="2:10" x14ac:dyDescent="0.3">
      <c r="B23" s="190">
        <v>2039</v>
      </c>
      <c r="C23" s="191">
        <f>'5 Savings Analysis'!$J$69/1000*'Social Cost Value Analysis'!C60</f>
        <v>0</v>
      </c>
      <c r="D23" s="191">
        <f>'5 Savings Analysis'!$K$69/10*'Social Cost Value Analysis'!D60</f>
        <v>0</v>
      </c>
      <c r="E23" s="192" t="s">
        <v>587</v>
      </c>
      <c r="F23" s="192" t="s">
        <v>587</v>
      </c>
      <c r="G23" s="192" t="s">
        <v>587</v>
      </c>
      <c r="H23" s="191">
        <f>SUM(('5 Savings Analysis'!$L$69*Backup!$J$6/1000000),('5 Savings Analysis'!$M$69*Backup!$J$7/1000000))*H60</f>
        <v>0</v>
      </c>
      <c r="J23" s="193">
        <f t="shared" si="0"/>
        <v>0</v>
      </c>
    </row>
    <row r="24" spans="2:10" x14ac:dyDescent="0.3">
      <c r="B24" s="190">
        <v>2040</v>
      </c>
      <c r="C24" s="191">
        <f>'5 Savings Analysis'!$J$69/1000*'Social Cost Value Analysis'!C61</f>
        <v>0</v>
      </c>
      <c r="D24" s="191">
        <f>'5 Savings Analysis'!$K$69/10*'Social Cost Value Analysis'!D61</f>
        <v>0</v>
      </c>
      <c r="E24" s="192" t="s">
        <v>587</v>
      </c>
      <c r="F24" s="192" t="s">
        <v>587</v>
      </c>
      <c r="G24" s="192" t="s">
        <v>587</v>
      </c>
      <c r="H24" s="191">
        <f>SUM(('5 Savings Analysis'!$L$69*Backup!$J$6/1000000),('5 Savings Analysis'!$M$69*Backup!$J$7/1000000))*H61</f>
        <v>0</v>
      </c>
      <c r="J24" s="193">
        <f t="shared" si="0"/>
        <v>0</v>
      </c>
    </row>
    <row r="25" spans="2:10" x14ac:dyDescent="0.3">
      <c r="B25" s="190">
        <v>2041</v>
      </c>
      <c r="C25" s="191">
        <f>'5 Savings Analysis'!$J$69/1000*'Social Cost Value Analysis'!C62</f>
        <v>0</v>
      </c>
      <c r="D25" s="191">
        <f>'5 Savings Analysis'!$K$69/10*'Social Cost Value Analysis'!D62</f>
        <v>0</v>
      </c>
      <c r="E25" s="192" t="s">
        <v>587</v>
      </c>
      <c r="F25" s="192" t="s">
        <v>587</v>
      </c>
      <c r="G25" s="192" t="s">
        <v>587</v>
      </c>
      <c r="H25" s="191">
        <f>SUM(('5 Savings Analysis'!$L$69*Backup!$J$6/1000000),('5 Savings Analysis'!$M$69*Backup!$J$7/1000000))*H62</f>
        <v>0</v>
      </c>
      <c r="J25" s="193">
        <f t="shared" si="0"/>
        <v>0</v>
      </c>
    </row>
    <row r="26" spans="2:10" x14ac:dyDescent="0.3">
      <c r="B26" s="190">
        <v>2042</v>
      </c>
      <c r="C26" s="191">
        <f>'5 Savings Analysis'!$J$69/1000*'Social Cost Value Analysis'!C63</f>
        <v>0</v>
      </c>
      <c r="D26" s="191">
        <f>'5 Savings Analysis'!$K$69/10*'Social Cost Value Analysis'!D63</f>
        <v>0</v>
      </c>
      <c r="E26" s="192" t="s">
        <v>587</v>
      </c>
      <c r="F26" s="192" t="s">
        <v>587</v>
      </c>
      <c r="G26" s="192" t="s">
        <v>587</v>
      </c>
      <c r="H26" s="191">
        <f>SUM(('5 Savings Analysis'!$L$69*Backup!$J$6/1000000),('5 Savings Analysis'!$M$69*Backup!$J$7/1000000))*H63</f>
        <v>0</v>
      </c>
      <c r="J26" s="193">
        <f t="shared" si="0"/>
        <v>0</v>
      </c>
    </row>
    <row r="27" spans="2:10" x14ac:dyDescent="0.3">
      <c r="B27" s="190">
        <v>2043</v>
      </c>
      <c r="C27" s="191">
        <f>'5 Savings Analysis'!$J$69/1000*'Social Cost Value Analysis'!C64</f>
        <v>0</v>
      </c>
      <c r="D27" s="191">
        <f>'5 Savings Analysis'!$K$69/10*'Social Cost Value Analysis'!D64</f>
        <v>0</v>
      </c>
      <c r="E27" s="192" t="s">
        <v>587</v>
      </c>
      <c r="F27" s="192" t="s">
        <v>587</v>
      </c>
      <c r="G27" s="192" t="s">
        <v>587</v>
      </c>
      <c r="H27" s="191">
        <f>SUM(('5 Savings Analysis'!$L$69*Backup!$J$6/1000000),('5 Savings Analysis'!$M$69*Backup!$J$7/1000000))*H64</f>
        <v>0</v>
      </c>
      <c r="J27" s="193">
        <f t="shared" si="0"/>
        <v>0</v>
      </c>
    </row>
    <row r="28" spans="2:10" x14ac:dyDescent="0.3">
      <c r="B28" s="190">
        <v>2044</v>
      </c>
      <c r="C28" s="191">
        <f>'5 Savings Analysis'!$J$69/1000*'Social Cost Value Analysis'!C65</f>
        <v>0</v>
      </c>
      <c r="D28" s="191">
        <f>'5 Savings Analysis'!$K$69/10*'Social Cost Value Analysis'!D65</f>
        <v>0</v>
      </c>
      <c r="E28" s="192" t="s">
        <v>587</v>
      </c>
      <c r="F28" s="192" t="s">
        <v>587</v>
      </c>
      <c r="G28" s="192" t="s">
        <v>587</v>
      </c>
      <c r="H28" s="191">
        <f>SUM(('5 Savings Analysis'!$L$69*Backup!$J$6/1000000),('5 Savings Analysis'!$M$69*Backup!$J$7/1000000))*H65</f>
        <v>0</v>
      </c>
      <c r="J28" s="193">
        <f t="shared" si="0"/>
        <v>0</v>
      </c>
    </row>
    <row r="29" spans="2:10" x14ac:dyDescent="0.3">
      <c r="B29" s="190">
        <v>2045</v>
      </c>
      <c r="C29" s="191">
        <f>'5 Savings Analysis'!$J$69/1000*'Social Cost Value Analysis'!C66</f>
        <v>0</v>
      </c>
      <c r="D29" s="191">
        <f>'5 Savings Analysis'!$K$69/10*'Social Cost Value Analysis'!D66</f>
        <v>0</v>
      </c>
      <c r="E29" s="192" t="s">
        <v>587</v>
      </c>
      <c r="F29" s="192" t="s">
        <v>587</v>
      </c>
      <c r="G29" s="192" t="s">
        <v>587</v>
      </c>
      <c r="H29" s="191">
        <f>SUM(('5 Savings Analysis'!$L$69*Backup!$J$6/1000000),('5 Savings Analysis'!$M$69*Backup!$J$7/1000000))*H66</f>
        <v>0</v>
      </c>
      <c r="J29" s="193">
        <f t="shared" si="0"/>
        <v>0</v>
      </c>
    </row>
    <row r="30" spans="2:10" x14ac:dyDescent="0.3">
      <c r="B30" s="190">
        <v>2046</v>
      </c>
      <c r="C30" s="191">
        <f>'5 Savings Analysis'!$J$69/1000*'Social Cost Value Analysis'!C67</f>
        <v>0</v>
      </c>
      <c r="D30" s="191">
        <f>'5 Savings Analysis'!$K$69/10*'Social Cost Value Analysis'!D67</f>
        <v>0</v>
      </c>
      <c r="E30" s="192" t="s">
        <v>587</v>
      </c>
      <c r="F30" s="192" t="s">
        <v>587</v>
      </c>
      <c r="G30" s="192" t="s">
        <v>587</v>
      </c>
      <c r="H30" s="191">
        <f>SUM(('5 Savings Analysis'!$L$69*Backup!$J$6/1000000),('5 Savings Analysis'!$M$69*Backup!$J$7/1000000))*H67</f>
        <v>0</v>
      </c>
      <c r="J30" s="193">
        <f t="shared" si="0"/>
        <v>0</v>
      </c>
    </row>
    <row r="31" spans="2:10" x14ac:dyDescent="0.3">
      <c r="B31" s="190">
        <v>2047</v>
      </c>
      <c r="C31" s="191">
        <f>'5 Savings Analysis'!$J$69/1000*'Social Cost Value Analysis'!C68</f>
        <v>0</v>
      </c>
      <c r="D31" s="191">
        <f>'5 Savings Analysis'!$K$69/10*'Social Cost Value Analysis'!D68</f>
        <v>0</v>
      </c>
      <c r="E31" s="192" t="s">
        <v>587</v>
      </c>
      <c r="F31" s="192" t="s">
        <v>587</v>
      </c>
      <c r="G31" s="192" t="s">
        <v>587</v>
      </c>
      <c r="H31" s="191">
        <f>SUM(('5 Savings Analysis'!$L$69*Backup!$J$6/1000000),('5 Savings Analysis'!$M$69*Backup!$J$7/1000000))*H68</f>
        <v>0</v>
      </c>
      <c r="J31" s="193">
        <f t="shared" si="0"/>
        <v>0</v>
      </c>
    </row>
    <row r="32" spans="2:10" x14ac:dyDescent="0.3">
      <c r="B32" s="190">
        <v>2048</v>
      </c>
      <c r="C32" s="191">
        <f>'5 Savings Analysis'!$J$69/1000*'Social Cost Value Analysis'!C69</f>
        <v>0</v>
      </c>
      <c r="D32" s="191">
        <f>'5 Savings Analysis'!$K$69/10*'Social Cost Value Analysis'!D69</f>
        <v>0</v>
      </c>
      <c r="E32" s="192" t="s">
        <v>587</v>
      </c>
      <c r="F32" s="192" t="s">
        <v>587</v>
      </c>
      <c r="G32" s="192" t="s">
        <v>587</v>
      </c>
      <c r="H32" s="191">
        <f>SUM(('5 Savings Analysis'!$L$69*Backup!$J$6/1000000),('5 Savings Analysis'!$M$69*Backup!$J$7/1000000))*H69</f>
        <v>0</v>
      </c>
      <c r="J32" s="193">
        <f t="shared" si="0"/>
        <v>0</v>
      </c>
    </row>
    <row r="33" spans="2:24" x14ac:dyDescent="0.3">
      <c r="B33" s="190">
        <v>2049</v>
      </c>
      <c r="C33" s="191">
        <f>'5 Savings Analysis'!$J$69/1000*'Social Cost Value Analysis'!C70</f>
        <v>0</v>
      </c>
      <c r="D33" s="191">
        <f>'5 Savings Analysis'!$K$69/10*'Social Cost Value Analysis'!D70</f>
        <v>0</v>
      </c>
      <c r="E33" s="192" t="s">
        <v>587</v>
      </c>
      <c r="F33" s="192" t="s">
        <v>587</v>
      </c>
      <c r="G33" s="192" t="s">
        <v>587</v>
      </c>
      <c r="H33" s="191">
        <f>SUM(('5 Savings Analysis'!$L$69*Backup!$J$6/1000000),('5 Savings Analysis'!$M$69*Backup!$J$7/1000000))*H70</f>
        <v>0</v>
      </c>
      <c r="J33" s="193">
        <f t="shared" si="0"/>
        <v>0</v>
      </c>
    </row>
    <row r="34" spans="2:24" x14ac:dyDescent="0.3">
      <c r="B34" s="190">
        <v>2050</v>
      </c>
      <c r="C34" s="191">
        <f>'5 Savings Analysis'!$J$69/1000*'Social Cost Value Analysis'!C71</f>
        <v>0</v>
      </c>
      <c r="D34" s="191">
        <f>'5 Savings Analysis'!$K$69/10*'Social Cost Value Analysis'!D71</f>
        <v>0</v>
      </c>
      <c r="E34" s="192" t="s">
        <v>587</v>
      </c>
      <c r="F34" s="192" t="s">
        <v>587</v>
      </c>
      <c r="G34" s="192" t="s">
        <v>587</v>
      </c>
      <c r="H34" s="191">
        <f>SUM(('5 Savings Analysis'!$L$69*Backup!$J$6/1000000),('5 Savings Analysis'!$M$69*Backup!$J$7/1000000))*H71</f>
        <v>0</v>
      </c>
      <c r="J34" s="193">
        <f t="shared" si="0"/>
        <v>0</v>
      </c>
    </row>
    <row r="35" spans="2:24" x14ac:dyDescent="0.3"/>
    <row r="36" spans="2:24" x14ac:dyDescent="0.3"/>
    <row r="37" spans="2:24" x14ac:dyDescent="0.3"/>
    <row r="38" spans="2:24" x14ac:dyDescent="0.3">
      <c r="B38" s="184" t="s">
        <v>748</v>
      </c>
      <c r="C38" s="185"/>
      <c r="D38" s="185"/>
      <c r="E38" s="185"/>
      <c r="F38" s="185"/>
      <c r="G38" s="185"/>
      <c r="H38" s="185"/>
      <c r="I38" s="185"/>
      <c r="J38" s="185"/>
      <c r="K38" s="185"/>
      <c r="L38" s="185"/>
      <c r="M38" s="185"/>
      <c r="N38" s="185"/>
      <c r="O38" s="185"/>
      <c r="P38" s="185"/>
      <c r="Q38" s="185"/>
      <c r="R38" s="185"/>
      <c r="S38" s="185"/>
      <c r="T38" s="185"/>
      <c r="U38" s="185"/>
      <c r="V38" s="185"/>
      <c r="W38" s="185"/>
    </row>
    <row r="39" spans="2:24" x14ac:dyDescent="0.3"/>
    <row r="40" spans="2:24" x14ac:dyDescent="0.3">
      <c r="B40" s="1" t="s">
        <v>749</v>
      </c>
      <c r="J40" s="1" t="s">
        <v>750</v>
      </c>
      <c r="O40" s="1" t="s">
        <v>774</v>
      </c>
      <c r="T40" s="1" t="s">
        <v>751</v>
      </c>
    </row>
    <row r="41" spans="2:24" ht="19.95" customHeight="1" x14ac:dyDescent="0.3">
      <c r="B41" s="14" t="s">
        <v>752</v>
      </c>
      <c r="J41" s="241" t="s">
        <v>753</v>
      </c>
      <c r="K41" s="241"/>
      <c r="L41" s="241"/>
      <c r="M41" s="241"/>
      <c r="N41" s="194"/>
      <c r="O41" s="243" t="s">
        <v>773</v>
      </c>
      <c r="P41" s="243"/>
      <c r="Q41" s="243"/>
      <c r="R41" s="243"/>
      <c r="T41" s="243" t="s">
        <v>773</v>
      </c>
      <c r="U41" s="243"/>
      <c r="V41" s="243"/>
      <c r="W41" s="243"/>
    </row>
    <row r="42" spans="2:24" ht="22.2" customHeight="1" x14ac:dyDescent="0.3">
      <c r="J42" s="242"/>
      <c r="K42" s="242"/>
      <c r="L42" s="242"/>
      <c r="M42" s="242"/>
      <c r="N42" s="194"/>
      <c r="O42" s="244"/>
      <c r="P42" s="244"/>
      <c r="Q42" s="244"/>
      <c r="R42" s="244"/>
      <c r="T42" s="244"/>
      <c r="U42" s="244"/>
      <c r="V42" s="244"/>
      <c r="W42" s="244"/>
    </row>
    <row r="43" spans="2:24" ht="44.1" customHeight="1" x14ac:dyDescent="0.3">
      <c r="C43" s="187" t="s">
        <v>739</v>
      </c>
      <c r="D43" s="240" t="s">
        <v>740</v>
      </c>
      <c r="E43" s="240"/>
      <c r="F43" s="240"/>
      <c r="G43" s="240"/>
      <c r="H43" s="240"/>
      <c r="I43" s="55"/>
      <c r="J43" s="195"/>
      <c r="K43" s="245" t="s">
        <v>754</v>
      </c>
      <c r="L43" s="246"/>
      <c r="M43" s="247"/>
      <c r="O43" s="248" t="s">
        <v>755</v>
      </c>
      <c r="P43" s="249"/>
      <c r="Q43" s="249"/>
      <c r="R43" s="250"/>
      <c r="T43" s="248" t="s">
        <v>756</v>
      </c>
      <c r="U43" s="249"/>
      <c r="V43" s="249"/>
      <c r="W43" s="250"/>
      <c r="X43" s="194"/>
    </row>
    <row r="44" spans="2:24" ht="33" customHeight="1" x14ac:dyDescent="0.3">
      <c r="B44" s="188" t="s">
        <v>741</v>
      </c>
      <c r="C44" s="188" t="s">
        <v>742</v>
      </c>
      <c r="D44" s="188" t="s">
        <v>549</v>
      </c>
      <c r="E44" s="188" t="s">
        <v>743</v>
      </c>
      <c r="F44" s="188" t="s">
        <v>744</v>
      </c>
      <c r="G44" s="188" t="s">
        <v>745</v>
      </c>
      <c r="H44" s="188" t="s">
        <v>746</v>
      </c>
      <c r="J44" s="188" t="s">
        <v>741</v>
      </c>
      <c r="K44" s="188" t="s">
        <v>757</v>
      </c>
      <c r="L44" s="188" t="s">
        <v>758</v>
      </c>
      <c r="M44" s="188" t="s">
        <v>759</v>
      </c>
      <c r="O44" s="188" t="s">
        <v>741</v>
      </c>
      <c r="P44" s="188" t="s">
        <v>760</v>
      </c>
      <c r="Q44" s="188" t="s">
        <v>761</v>
      </c>
      <c r="R44" s="188" t="s">
        <v>762</v>
      </c>
      <c r="T44" s="188" t="s">
        <v>741</v>
      </c>
      <c r="U44" s="188" t="s">
        <v>760</v>
      </c>
      <c r="V44" s="188" t="s">
        <v>761</v>
      </c>
      <c r="W44" s="188" t="s">
        <v>762</v>
      </c>
      <c r="X44" s="194"/>
    </row>
    <row r="45" spans="2:24" x14ac:dyDescent="0.3">
      <c r="B45" s="190">
        <v>2024</v>
      </c>
      <c r="C45" s="191">
        <f t="shared" ref="C45:C51" si="1">SUMPRODUCT(K45:M45,P45:R45)*1.07</f>
        <v>53.076281214001511</v>
      </c>
      <c r="D45" s="191">
        <f t="shared" ref="D45:D71" si="2">SUMPRODUCT($P45:$R45,K$61:M$61)</f>
        <v>10.631609146313281</v>
      </c>
      <c r="E45" s="191">
        <f t="shared" ref="E45:E71" si="3">SUMPRODUCT($P45:$R45,K$62:M$62)</f>
        <v>13.415324184601921</v>
      </c>
      <c r="F45" s="191">
        <f t="shared" ref="F45:F71" si="4">SUMPRODUCT($P45:$R45,K$63:M$63)</f>
        <v>12.801053689130081</v>
      </c>
      <c r="G45" s="191">
        <f t="shared" ref="G45:G71" si="5">SUMPRODUCT($P45:$R45,K$64:M$64)</f>
        <v>12.172358213309924</v>
      </c>
      <c r="H45" s="191">
        <f t="shared" ref="H45:H71" si="6">SUMPRODUCT($P45:$R45,K$65:M$65)</f>
        <v>10.932783289669601</v>
      </c>
      <c r="J45" s="190">
        <v>2024</v>
      </c>
      <c r="K45" s="198">
        <v>0.30320528988885326</v>
      </c>
      <c r="L45" s="196">
        <v>1.6764099872919639E-3</v>
      </c>
      <c r="M45" s="196">
        <v>2.1370365860972906E-6</v>
      </c>
      <c r="O45" s="190">
        <v>2024</v>
      </c>
      <c r="P45" s="191">
        <f>U45*1.096</f>
        <v>144.77064000000001</v>
      </c>
      <c r="Q45" s="191">
        <f t="shared" ref="Q45:R45" si="7">V45*1.096</f>
        <v>3338.9640000000004</v>
      </c>
      <c r="R45" s="191">
        <f t="shared" si="7"/>
        <v>52083.651680000003</v>
      </c>
      <c r="T45" s="190">
        <v>2024</v>
      </c>
      <c r="U45" s="197">
        <v>132.09</v>
      </c>
      <c r="V45" s="197">
        <v>3046.5</v>
      </c>
      <c r="W45" s="197">
        <v>47521.58</v>
      </c>
    </row>
    <row r="46" spans="2:24" x14ac:dyDescent="0.3">
      <c r="B46" s="190">
        <v>2025</v>
      </c>
      <c r="C46" s="191">
        <f t="shared" si="1"/>
        <v>51.65077236697531</v>
      </c>
      <c r="D46" s="191">
        <f t="shared" si="2"/>
        <v>10.776253450787841</v>
      </c>
      <c r="E46" s="191">
        <f t="shared" si="3"/>
        <v>13.588030288597761</v>
      </c>
      <c r="F46" s="191">
        <f t="shared" si="4"/>
        <v>12.965856249338239</v>
      </c>
      <c r="G46" s="191">
        <f t="shared" si="5"/>
        <v>12.329076059461762</v>
      </c>
      <c r="H46" s="191">
        <f t="shared" si="6"/>
        <v>11.0735860125888</v>
      </c>
      <c r="J46" s="190">
        <v>2025</v>
      </c>
      <c r="K46" s="198">
        <v>0.29110298978105364</v>
      </c>
      <c r="L46" s="196">
        <v>1.6094968513854068E-3</v>
      </c>
      <c r="M46" s="196">
        <v>2.051737750724802E-6</v>
      </c>
      <c r="O46" s="190">
        <v>2025</v>
      </c>
      <c r="P46" s="191">
        <f t="shared" ref="P46:P71" si="8">U46*1.096</f>
        <v>146.59</v>
      </c>
      <c r="Q46" s="191">
        <f t="shared" ref="Q46:Q71" si="9">V46*1.096</f>
        <v>3411.3328800000004</v>
      </c>
      <c r="R46" s="191">
        <f t="shared" ref="R46:R71" si="10">W46*1.096</f>
        <v>52849.383040000001</v>
      </c>
      <c r="T46" s="190">
        <v>2025</v>
      </c>
      <c r="U46" s="197">
        <v>133.75</v>
      </c>
      <c r="V46" s="197">
        <v>3112.53</v>
      </c>
      <c r="W46" s="197">
        <v>48220.24</v>
      </c>
    </row>
    <row r="47" spans="2:24" x14ac:dyDescent="0.3">
      <c r="B47" s="190">
        <v>2026</v>
      </c>
      <c r="C47" s="191">
        <f t="shared" si="1"/>
        <v>42.338249535421099</v>
      </c>
      <c r="D47" s="191">
        <f t="shared" si="2"/>
        <v>10.926731886102083</v>
      </c>
      <c r="E47" s="191">
        <f t="shared" si="3"/>
        <v>13.766493346445124</v>
      </c>
      <c r="F47" s="191">
        <f t="shared" si="4"/>
        <v>13.136153037686881</v>
      </c>
      <c r="G47" s="191">
        <f t="shared" si="5"/>
        <v>12.491019971313122</v>
      </c>
      <c r="H47" s="191">
        <f t="shared" si="6"/>
        <v>11.219090203525601</v>
      </c>
      <c r="J47" s="190">
        <v>2026</v>
      </c>
      <c r="K47" s="198">
        <v>0.23533302550483759</v>
      </c>
      <c r="L47" s="196">
        <v>1.3011469372469144E-3</v>
      </c>
      <c r="M47" s="196">
        <v>1.6586626361471454E-6</v>
      </c>
      <c r="O47" s="190">
        <v>2026</v>
      </c>
      <c r="P47" s="191">
        <f t="shared" si="8"/>
        <v>148.46416000000002</v>
      </c>
      <c r="Q47" s="191">
        <f t="shared" si="9"/>
        <v>3489.9489600000006</v>
      </c>
      <c r="R47" s="191">
        <f t="shared" si="10"/>
        <v>53658.384480000001</v>
      </c>
      <c r="T47" s="190">
        <v>2026</v>
      </c>
      <c r="U47" s="197">
        <v>135.46</v>
      </c>
      <c r="V47" s="197">
        <v>3184.26</v>
      </c>
      <c r="W47" s="197">
        <v>48958.38</v>
      </c>
    </row>
    <row r="48" spans="2:24" x14ac:dyDescent="0.3">
      <c r="B48" s="190">
        <v>2027</v>
      </c>
      <c r="C48" s="191">
        <f t="shared" si="1"/>
        <v>37.584230951810028</v>
      </c>
      <c r="D48" s="191">
        <f t="shared" si="2"/>
        <v>11.077210321416322</v>
      </c>
      <c r="E48" s="191">
        <f t="shared" si="3"/>
        <v>13.944956404292482</v>
      </c>
      <c r="F48" s="191">
        <f t="shared" si="4"/>
        <v>13.30644982603552</v>
      </c>
      <c r="G48" s="191">
        <f t="shared" si="5"/>
        <v>12.652963883164482</v>
      </c>
      <c r="H48" s="191">
        <f t="shared" si="6"/>
        <v>11.364594394462403</v>
      </c>
      <c r="J48" s="190">
        <v>2027</v>
      </c>
      <c r="K48" s="198">
        <v>0.20607157280349764</v>
      </c>
      <c r="L48" s="196">
        <v>1.1393615291850048E-3</v>
      </c>
      <c r="M48" s="196">
        <v>1.4524235068494946E-6</v>
      </c>
      <c r="O48" s="190">
        <v>2027</v>
      </c>
      <c r="P48" s="191">
        <f t="shared" si="8"/>
        <v>150.33832000000001</v>
      </c>
      <c r="Q48" s="191">
        <f t="shared" si="9"/>
        <v>3568.56504</v>
      </c>
      <c r="R48" s="191">
        <f t="shared" si="10"/>
        <v>54467.385920000001</v>
      </c>
      <c r="T48" s="190">
        <v>2027</v>
      </c>
      <c r="U48" s="197">
        <v>137.16999999999999</v>
      </c>
      <c r="V48" s="197">
        <v>3255.99</v>
      </c>
      <c r="W48" s="197">
        <v>49696.52</v>
      </c>
    </row>
    <row r="49" spans="2:23" x14ac:dyDescent="0.3">
      <c r="B49" s="190">
        <v>2028</v>
      </c>
      <c r="C49" s="191">
        <f t="shared" si="1"/>
        <v>29.489364969010861</v>
      </c>
      <c r="D49" s="191">
        <f t="shared" si="2"/>
        <v>11.22768875673056</v>
      </c>
      <c r="E49" s="191">
        <f t="shared" si="3"/>
        <v>14.123419462139841</v>
      </c>
      <c r="F49" s="191">
        <f t="shared" si="4"/>
        <v>13.47674661438416</v>
      </c>
      <c r="G49" s="191">
        <f t="shared" si="5"/>
        <v>12.81490779501584</v>
      </c>
      <c r="H49" s="191">
        <f t="shared" si="6"/>
        <v>11.5100985853992</v>
      </c>
      <c r="J49" s="190">
        <v>2028</v>
      </c>
      <c r="K49" s="198">
        <v>0.15952191660572959</v>
      </c>
      <c r="L49" s="196">
        <v>8.8199033165889439E-4</v>
      </c>
      <c r="M49" s="196">
        <v>1.1243345134109341E-6</v>
      </c>
      <c r="O49" s="190">
        <v>2028</v>
      </c>
      <c r="P49" s="191">
        <f t="shared" si="8"/>
        <v>152.21248</v>
      </c>
      <c r="Q49" s="191">
        <f t="shared" si="9"/>
        <v>3647.1811200000002</v>
      </c>
      <c r="R49" s="191">
        <f t="shared" si="10"/>
        <v>55276.387360000008</v>
      </c>
      <c r="T49" s="190">
        <v>2028</v>
      </c>
      <c r="U49" s="197">
        <v>138.88</v>
      </c>
      <c r="V49" s="197">
        <v>3327.72</v>
      </c>
      <c r="W49" s="197">
        <v>50434.66</v>
      </c>
    </row>
    <row r="50" spans="2:23" x14ac:dyDescent="0.3">
      <c r="B50" s="190">
        <v>2029</v>
      </c>
      <c r="C50" s="191">
        <f t="shared" si="1"/>
        <v>26.145847205636073</v>
      </c>
      <c r="D50" s="191">
        <f t="shared" si="2"/>
        <v>11.378171159564801</v>
      </c>
      <c r="E50" s="191">
        <f t="shared" si="3"/>
        <v>14.301883966707202</v>
      </c>
      <c r="F50" s="191">
        <f t="shared" si="4"/>
        <v>13.647044783692802</v>
      </c>
      <c r="G50" s="191">
        <f t="shared" si="5"/>
        <v>12.976853022067202</v>
      </c>
      <c r="H50" s="191">
        <f t="shared" si="6"/>
        <v>11.655603970976001</v>
      </c>
      <c r="J50" s="190">
        <v>2029</v>
      </c>
      <c r="K50" s="198">
        <v>0.1395654690455311</v>
      </c>
      <c r="L50" s="196">
        <v>7.7165192690002997E-4</v>
      </c>
      <c r="M50" s="196">
        <v>9.8367846291686235E-7</v>
      </c>
      <c r="O50" s="190">
        <v>2029</v>
      </c>
      <c r="P50" s="191">
        <f t="shared" si="8"/>
        <v>154.08664000000002</v>
      </c>
      <c r="Q50" s="191">
        <f t="shared" si="9"/>
        <v>3725.8081600000005</v>
      </c>
      <c r="R50" s="191">
        <f t="shared" si="10"/>
        <v>56085.388800000008</v>
      </c>
      <c r="T50" s="190">
        <v>2029</v>
      </c>
      <c r="U50" s="197">
        <v>140.59</v>
      </c>
      <c r="V50" s="197">
        <v>3399.46</v>
      </c>
      <c r="W50" s="197">
        <v>51172.800000000003</v>
      </c>
    </row>
    <row r="51" spans="2:23" x14ac:dyDescent="0.3">
      <c r="B51" s="190">
        <v>2030</v>
      </c>
      <c r="C51" s="191">
        <f t="shared" si="1"/>
        <v>21.829811482339675</v>
      </c>
      <c r="D51" s="191">
        <f t="shared" si="2"/>
        <v>11.528649594879044</v>
      </c>
      <c r="E51" s="191">
        <f t="shared" si="3"/>
        <v>14.480347024554565</v>
      </c>
      <c r="F51" s="191">
        <f t="shared" si="4"/>
        <v>13.817341572041443</v>
      </c>
      <c r="G51" s="191">
        <f t="shared" si="5"/>
        <v>13.138796933918563</v>
      </c>
      <c r="H51" s="191">
        <f t="shared" si="6"/>
        <v>11.801108161912802</v>
      </c>
      <c r="J51" s="190">
        <v>2030</v>
      </c>
      <c r="K51" s="198">
        <v>0.11500629811723914</v>
      </c>
      <c r="L51" s="196">
        <v>6.3586524772008771E-4</v>
      </c>
      <c r="M51" s="196">
        <v>8.1058172434341607E-7</v>
      </c>
      <c r="O51" s="190">
        <v>2030</v>
      </c>
      <c r="P51" s="191">
        <f t="shared" si="8"/>
        <v>155.96080000000003</v>
      </c>
      <c r="Q51" s="191">
        <f t="shared" si="9"/>
        <v>3804.4242400000003</v>
      </c>
      <c r="R51" s="191">
        <f t="shared" si="10"/>
        <v>56894.390240000008</v>
      </c>
      <c r="T51" s="190">
        <v>2030</v>
      </c>
      <c r="U51" s="197">
        <v>142.30000000000001</v>
      </c>
      <c r="V51" s="197">
        <v>3471.19</v>
      </c>
      <c r="W51" s="197">
        <v>51910.94</v>
      </c>
    </row>
    <row r="52" spans="2:23" x14ac:dyDescent="0.3">
      <c r="B52" s="190">
        <v>2031</v>
      </c>
      <c r="C52" s="192">
        <v>0</v>
      </c>
      <c r="D52" s="191">
        <f t="shared" si="2"/>
        <v>11.680591924973601</v>
      </c>
      <c r="E52" s="191">
        <f t="shared" si="3"/>
        <v>14.6593564574504</v>
      </c>
      <c r="F52" s="191">
        <f t="shared" si="4"/>
        <v>13.9881603324396</v>
      </c>
      <c r="G52" s="191">
        <f t="shared" si="5"/>
        <v>13.301238430460399</v>
      </c>
      <c r="H52" s="191">
        <f t="shared" si="6"/>
        <v>11.947065196101999</v>
      </c>
      <c r="O52" s="190">
        <v>2031</v>
      </c>
      <c r="P52" s="191">
        <f t="shared" si="8"/>
        <v>157.83496</v>
      </c>
      <c r="Q52" s="191">
        <f t="shared" si="9"/>
        <v>3887.0736000000002</v>
      </c>
      <c r="R52" s="191">
        <f t="shared" si="10"/>
        <v>57719.031600000002</v>
      </c>
      <c r="T52" s="190">
        <v>2031</v>
      </c>
      <c r="U52" s="197">
        <v>144.01</v>
      </c>
      <c r="V52" s="197">
        <v>3546.6</v>
      </c>
      <c r="W52" s="197">
        <v>52663.35</v>
      </c>
    </row>
    <row r="53" spans="2:23" ht="14.7" customHeight="1" x14ac:dyDescent="0.3">
      <c r="B53" s="190">
        <v>2032</v>
      </c>
      <c r="C53" s="192">
        <v>0</v>
      </c>
      <c r="D53" s="191">
        <f t="shared" si="2"/>
        <v>11.832534257764323</v>
      </c>
      <c r="E53" s="191">
        <f t="shared" si="3"/>
        <v>14.838365900144483</v>
      </c>
      <c r="F53" s="191">
        <f t="shared" si="4"/>
        <v>14.158979102493522</v>
      </c>
      <c r="G53" s="191">
        <f t="shared" si="5"/>
        <v>13.463679936526482</v>
      </c>
      <c r="H53" s="191">
        <f t="shared" si="6"/>
        <v>12.093022239552401</v>
      </c>
      <c r="J53" s="252" t="s">
        <v>763</v>
      </c>
      <c r="K53" s="252"/>
      <c r="L53" s="252"/>
      <c r="M53" s="252"/>
      <c r="N53" s="199"/>
      <c r="O53" s="190">
        <v>2032</v>
      </c>
      <c r="P53" s="191">
        <f t="shared" si="8"/>
        <v>159.70912000000001</v>
      </c>
      <c r="Q53" s="191">
        <f t="shared" si="9"/>
        <v>3969.7229600000005</v>
      </c>
      <c r="R53" s="191">
        <f t="shared" si="10"/>
        <v>58543.683920000003</v>
      </c>
      <c r="T53" s="190">
        <v>2032</v>
      </c>
      <c r="U53" s="197">
        <v>145.72</v>
      </c>
      <c r="V53" s="197">
        <v>3622.01</v>
      </c>
      <c r="W53" s="197">
        <v>53415.77</v>
      </c>
    </row>
    <row r="54" spans="2:23" x14ac:dyDescent="0.3">
      <c r="B54" s="190">
        <v>2033</v>
      </c>
      <c r="C54" s="192">
        <v>0</v>
      </c>
      <c r="D54" s="191">
        <f t="shared" si="2"/>
        <v>11.985188987858882</v>
      </c>
      <c r="E54" s="191">
        <f t="shared" si="3"/>
        <v>15.018354061040322</v>
      </c>
      <c r="F54" s="191">
        <f t="shared" si="4"/>
        <v>14.330731654891681</v>
      </c>
      <c r="G54" s="191">
        <f t="shared" si="5"/>
        <v>13.627009193068321</v>
      </c>
      <c r="H54" s="191">
        <f t="shared" si="6"/>
        <v>12.239776065741601</v>
      </c>
      <c r="J54" s="252"/>
      <c r="K54" s="252"/>
      <c r="L54" s="252"/>
      <c r="M54" s="252"/>
      <c r="N54" s="199"/>
      <c r="O54" s="190">
        <v>2033</v>
      </c>
      <c r="P54" s="191">
        <f t="shared" si="8"/>
        <v>161.59424000000001</v>
      </c>
      <c r="Q54" s="191">
        <f t="shared" si="9"/>
        <v>4052.3723200000004</v>
      </c>
      <c r="R54" s="191">
        <f t="shared" si="10"/>
        <v>59368.325280000005</v>
      </c>
      <c r="T54" s="190">
        <v>2033</v>
      </c>
      <c r="U54" s="197">
        <v>147.44</v>
      </c>
      <c r="V54" s="197">
        <v>3697.42</v>
      </c>
      <c r="W54" s="197">
        <v>54168.18</v>
      </c>
    </row>
    <row r="55" spans="2:23" x14ac:dyDescent="0.3">
      <c r="B55" s="190">
        <v>2034</v>
      </c>
      <c r="C55" s="192">
        <v>0</v>
      </c>
      <c r="D55" s="191">
        <f t="shared" si="2"/>
        <v>12.137131317953443</v>
      </c>
      <c r="E55" s="191">
        <f t="shared" si="3"/>
        <v>15.197363493936162</v>
      </c>
      <c r="F55" s="191">
        <f t="shared" si="4"/>
        <v>14.50155041528984</v>
      </c>
      <c r="G55" s="191">
        <f t="shared" si="5"/>
        <v>13.789450689610163</v>
      </c>
      <c r="H55" s="191">
        <f t="shared" si="6"/>
        <v>12.385733099930803</v>
      </c>
      <c r="J55" s="252"/>
      <c r="K55" s="252"/>
      <c r="L55" s="252"/>
      <c r="M55" s="252"/>
      <c r="N55" s="199"/>
      <c r="O55" s="190">
        <v>2034</v>
      </c>
      <c r="P55" s="191">
        <f t="shared" si="8"/>
        <v>163.46840000000003</v>
      </c>
      <c r="Q55" s="191">
        <f t="shared" si="9"/>
        <v>4135.0216799999998</v>
      </c>
      <c r="R55" s="191">
        <f t="shared" si="10"/>
        <v>60192.966639999999</v>
      </c>
      <c r="T55" s="190">
        <v>2034</v>
      </c>
      <c r="U55" s="197">
        <v>149.15</v>
      </c>
      <c r="V55" s="197">
        <v>3772.83</v>
      </c>
      <c r="W55" s="197">
        <v>54920.59</v>
      </c>
    </row>
    <row r="56" spans="2:23" ht="14.7" customHeight="1" x14ac:dyDescent="0.3">
      <c r="B56" s="190">
        <v>2035</v>
      </c>
      <c r="C56" s="192">
        <v>0</v>
      </c>
      <c r="D56" s="191">
        <f t="shared" si="2"/>
        <v>12.289073648048001</v>
      </c>
      <c r="E56" s="191">
        <f t="shared" si="3"/>
        <v>15.376372926832003</v>
      </c>
      <c r="F56" s="191">
        <f t="shared" si="4"/>
        <v>14.672369175688001</v>
      </c>
      <c r="G56" s="191">
        <f t="shared" si="5"/>
        <v>13.951892186152001</v>
      </c>
      <c r="H56" s="191">
        <f t="shared" si="6"/>
        <v>12.53169013412</v>
      </c>
      <c r="J56" s="241" t="s">
        <v>764</v>
      </c>
      <c r="K56" s="241"/>
      <c r="L56" s="241"/>
      <c r="M56" s="241"/>
      <c r="N56" s="194"/>
      <c r="O56" s="190">
        <v>2035</v>
      </c>
      <c r="P56" s="191">
        <f t="shared" si="8"/>
        <v>165.34256000000002</v>
      </c>
      <c r="Q56" s="191">
        <f t="shared" si="9"/>
        <v>4217.6710400000002</v>
      </c>
      <c r="R56" s="191">
        <f t="shared" si="10"/>
        <v>61017.608000000007</v>
      </c>
      <c r="T56" s="190">
        <v>2035</v>
      </c>
      <c r="U56" s="197">
        <v>150.86000000000001</v>
      </c>
      <c r="V56" s="197">
        <v>3848.24</v>
      </c>
      <c r="W56" s="197">
        <v>55673</v>
      </c>
    </row>
    <row r="57" spans="2:23" x14ac:dyDescent="0.3">
      <c r="B57" s="190">
        <v>2036</v>
      </c>
      <c r="C57" s="192">
        <v>0</v>
      </c>
      <c r="D57" s="191">
        <f t="shared" si="2"/>
        <v>12.445109542723841</v>
      </c>
      <c r="E57" s="191">
        <f t="shared" si="3"/>
        <v>15.559059091221762</v>
      </c>
      <c r="F57" s="191">
        <f t="shared" si="4"/>
        <v>14.846697132154242</v>
      </c>
      <c r="G57" s="191">
        <f t="shared" si="5"/>
        <v>14.117672089125762</v>
      </c>
      <c r="H57" s="191">
        <f t="shared" si="6"/>
        <v>12.6806526648288</v>
      </c>
      <c r="J57" s="242"/>
      <c r="K57" s="242"/>
      <c r="L57" s="242"/>
      <c r="M57" s="242"/>
      <c r="N57" s="194"/>
      <c r="O57" s="190">
        <v>2036</v>
      </c>
      <c r="P57" s="191">
        <f t="shared" si="8"/>
        <v>167.24960000000002</v>
      </c>
      <c r="Q57" s="191">
        <f t="shared" si="9"/>
        <v>4305.7017599999999</v>
      </c>
      <c r="R57" s="191">
        <f t="shared" si="10"/>
        <v>61876.039040000003</v>
      </c>
      <c r="T57" s="190">
        <v>2036</v>
      </c>
      <c r="U57" s="197">
        <v>152.6</v>
      </c>
      <c r="V57" s="197">
        <v>3928.56</v>
      </c>
      <c r="W57" s="197">
        <v>56456.24</v>
      </c>
    </row>
    <row r="58" spans="2:23" ht="15" customHeight="1" x14ac:dyDescent="0.3">
      <c r="B58" s="190">
        <v>2037</v>
      </c>
      <c r="C58" s="192">
        <v>0</v>
      </c>
      <c r="D58" s="191">
        <f t="shared" si="2"/>
        <v>12.601857834703521</v>
      </c>
      <c r="E58" s="191">
        <f t="shared" si="3"/>
        <v>15.74272397381328</v>
      </c>
      <c r="F58" s="191">
        <f t="shared" si="4"/>
        <v>15.021958870964719</v>
      </c>
      <c r="G58" s="191">
        <f t="shared" si="5"/>
        <v>14.28433974257528</v>
      </c>
      <c r="H58" s="191">
        <f t="shared" si="6"/>
        <v>12.830411978276398</v>
      </c>
      <c r="J58" s="253" t="s">
        <v>765</v>
      </c>
      <c r="K58" s="256" t="s">
        <v>766</v>
      </c>
      <c r="L58" s="257"/>
      <c r="M58" s="257"/>
      <c r="O58" s="190">
        <v>2037</v>
      </c>
      <c r="P58" s="191">
        <f t="shared" si="8"/>
        <v>169.16759999999999</v>
      </c>
      <c r="Q58" s="191">
        <f t="shared" si="9"/>
        <v>4393.7324800000006</v>
      </c>
      <c r="R58" s="191">
        <f t="shared" si="10"/>
        <v>62734.459120000007</v>
      </c>
      <c r="T58" s="190">
        <v>2037</v>
      </c>
      <c r="U58" s="197">
        <v>154.35</v>
      </c>
      <c r="V58" s="197">
        <v>4008.88</v>
      </c>
      <c r="W58" s="197">
        <v>57239.47</v>
      </c>
    </row>
    <row r="59" spans="2:23" ht="15.6" customHeight="1" x14ac:dyDescent="0.3">
      <c r="B59" s="190">
        <v>2038</v>
      </c>
      <c r="C59" s="192">
        <v>0</v>
      </c>
      <c r="D59" s="191">
        <f t="shared" si="2"/>
        <v>12.757893726683204</v>
      </c>
      <c r="E59" s="191">
        <f t="shared" si="3"/>
        <v>15.925410128404803</v>
      </c>
      <c r="F59" s="191">
        <f t="shared" si="4"/>
        <v>15.196286817775201</v>
      </c>
      <c r="G59" s="191">
        <f t="shared" si="5"/>
        <v>14.450119636024802</v>
      </c>
      <c r="H59" s="191">
        <f t="shared" si="6"/>
        <v>12.979374499724001</v>
      </c>
      <c r="J59" s="254"/>
      <c r="K59" s="258"/>
      <c r="L59" s="259"/>
      <c r="M59" s="259"/>
      <c r="O59" s="190">
        <v>2038</v>
      </c>
      <c r="P59" s="191">
        <f t="shared" si="8"/>
        <v>171.07464000000002</v>
      </c>
      <c r="Q59" s="191">
        <f t="shared" si="9"/>
        <v>4481.7632000000003</v>
      </c>
      <c r="R59" s="191">
        <f t="shared" si="10"/>
        <v>63592.879200000003</v>
      </c>
      <c r="T59" s="190">
        <v>2038</v>
      </c>
      <c r="U59" s="197">
        <v>156.09</v>
      </c>
      <c r="V59" s="197">
        <v>4089.2</v>
      </c>
      <c r="W59" s="197">
        <v>58022.7</v>
      </c>
    </row>
    <row r="60" spans="2:23" x14ac:dyDescent="0.3">
      <c r="B60" s="190">
        <v>2039</v>
      </c>
      <c r="C60" s="192">
        <v>0</v>
      </c>
      <c r="D60" s="191">
        <f t="shared" si="2"/>
        <v>12.913925651142883</v>
      </c>
      <c r="E60" s="191">
        <f t="shared" si="3"/>
        <v>16.108094836276326</v>
      </c>
      <c r="F60" s="191">
        <f t="shared" si="4"/>
        <v>15.370613383625683</v>
      </c>
      <c r="G60" s="191">
        <f t="shared" si="5"/>
        <v>14.615898214274324</v>
      </c>
      <c r="H60" s="191">
        <f t="shared" si="6"/>
        <v>13.128335826531602</v>
      </c>
      <c r="J60" s="255"/>
      <c r="K60" s="200" t="s">
        <v>760</v>
      </c>
      <c r="L60" s="200" t="s">
        <v>761</v>
      </c>
      <c r="M60" s="200" t="s">
        <v>762</v>
      </c>
      <c r="O60" s="190">
        <v>2039</v>
      </c>
      <c r="P60" s="191">
        <f t="shared" si="8"/>
        <v>172.98168000000004</v>
      </c>
      <c r="Q60" s="191">
        <f t="shared" si="9"/>
        <v>4569.7829600000005</v>
      </c>
      <c r="R60" s="191">
        <f t="shared" si="10"/>
        <v>64451.299280000007</v>
      </c>
      <c r="T60" s="190">
        <v>2039</v>
      </c>
      <c r="U60" s="197">
        <v>157.83000000000001</v>
      </c>
      <c r="V60" s="197">
        <v>4169.51</v>
      </c>
      <c r="W60" s="197">
        <v>58805.93</v>
      </c>
    </row>
    <row r="61" spans="2:23" x14ac:dyDescent="0.3">
      <c r="B61" s="190">
        <v>2040</v>
      </c>
      <c r="C61" s="192">
        <v>0</v>
      </c>
      <c r="D61" s="191">
        <f t="shared" si="2"/>
        <v>13.06996154312256</v>
      </c>
      <c r="E61" s="191">
        <f t="shared" si="3"/>
        <v>16.290780990867841</v>
      </c>
      <c r="F61" s="191">
        <f t="shared" si="4"/>
        <v>15.54494133043616</v>
      </c>
      <c r="G61" s="191">
        <f t="shared" si="5"/>
        <v>14.781678107723842</v>
      </c>
      <c r="H61" s="191">
        <f t="shared" si="6"/>
        <v>13.277298347979199</v>
      </c>
      <c r="J61" s="190" t="s">
        <v>549</v>
      </c>
      <c r="K61" s="201">
        <v>6.5000000000000002E-2</v>
      </c>
      <c r="L61" s="201">
        <v>3.6200000000000002E-4</v>
      </c>
      <c r="M61" s="201">
        <v>2.4600000000000001E-7</v>
      </c>
      <c r="O61" s="190">
        <v>2040</v>
      </c>
      <c r="P61" s="191">
        <f t="shared" si="8"/>
        <v>174.88872000000001</v>
      </c>
      <c r="Q61" s="191">
        <f t="shared" si="9"/>
        <v>4657.8136800000002</v>
      </c>
      <c r="R61" s="191">
        <f t="shared" si="10"/>
        <v>65309.71936000001</v>
      </c>
      <c r="T61" s="190">
        <v>2040</v>
      </c>
      <c r="U61" s="197">
        <v>159.57</v>
      </c>
      <c r="V61" s="197">
        <v>4249.83</v>
      </c>
      <c r="W61" s="197">
        <v>59589.16</v>
      </c>
    </row>
    <row r="62" spans="2:23" x14ac:dyDescent="0.3">
      <c r="B62" s="190">
        <v>2041</v>
      </c>
      <c r="C62" s="192">
        <v>0</v>
      </c>
      <c r="D62" s="191">
        <f t="shared" si="2"/>
        <v>13.245615110492801</v>
      </c>
      <c r="E62" s="191">
        <f t="shared" si="3"/>
        <v>16.502937696099202</v>
      </c>
      <c r="F62" s="191">
        <f t="shared" si="4"/>
        <v>15.747387370100801</v>
      </c>
      <c r="G62" s="191">
        <f t="shared" si="5"/>
        <v>14.974189696859202</v>
      </c>
      <c r="H62" s="191">
        <f t="shared" si="6"/>
        <v>13.450246907736002</v>
      </c>
      <c r="J62" s="190" t="s">
        <v>743</v>
      </c>
      <c r="K62" s="201">
        <v>8.9300000000000004E-2</v>
      </c>
      <c r="L62" s="201">
        <v>1.3200000000000001E-4</v>
      </c>
      <c r="M62" s="201">
        <v>8.9400000000000004E-7</v>
      </c>
      <c r="O62" s="190">
        <v>2041</v>
      </c>
      <c r="P62" s="191">
        <f t="shared" si="8"/>
        <v>177.13552000000001</v>
      </c>
      <c r="Q62" s="191">
        <f t="shared" si="9"/>
        <v>4739.0053600000001</v>
      </c>
      <c r="R62" s="191">
        <f t="shared" si="10"/>
        <v>66204.756800000003</v>
      </c>
      <c r="T62" s="190">
        <v>2041</v>
      </c>
      <c r="U62" s="197">
        <v>161.62</v>
      </c>
      <c r="V62" s="197">
        <v>4323.91</v>
      </c>
      <c r="W62" s="197">
        <v>60405.8</v>
      </c>
    </row>
    <row r="63" spans="2:23" x14ac:dyDescent="0.3">
      <c r="B63" s="190">
        <v>2042</v>
      </c>
      <c r="C63" s="192">
        <v>0</v>
      </c>
      <c r="D63" s="191">
        <f t="shared" si="2"/>
        <v>13.42126867786304</v>
      </c>
      <c r="E63" s="191">
        <f t="shared" si="3"/>
        <v>16.715094401330557</v>
      </c>
      <c r="F63" s="191">
        <f t="shared" si="4"/>
        <v>15.949833409765439</v>
      </c>
      <c r="G63" s="191">
        <f t="shared" si="5"/>
        <v>15.166701285994561</v>
      </c>
      <c r="H63" s="191">
        <f t="shared" si="6"/>
        <v>13.623195467492799</v>
      </c>
      <c r="J63" s="190" t="s">
        <v>744</v>
      </c>
      <c r="K63" s="201">
        <v>8.5199999999999998E-2</v>
      </c>
      <c r="L63" s="201">
        <v>1.26E-4</v>
      </c>
      <c r="M63" s="201">
        <v>8.8100000000000001E-7</v>
      </c>
      <c r="O63" s="190">
        <v>2042</v>
      </c>
      <c r="P63" s="191">
        <f t="shared" si="8"/>
        <v>179.38231999999999</v>
      </c>
      <c r="Q63" s="191">
        <f t="shared" si="9"/>
        <v>4820.19704</v>
      </c>
      <c r="R63" s="191">
        <f t="shared" si="10"/>
        <v>67099.794240000003</v>
      </c>
      <c r="T63" s="190">
        <v>2042</v>
      </c>
      <c r="U63" s="197">
        <v>163.66999999999999</v>
      </c>
      <c r="V63" s="197">
        <v>4397.99</v>
      </c>
      <c r="W63" s="197">
        <v>61222.44</v>
      </c>
    </row>
    <row r="64" spans="2:23" x14ac:dyDescent="0.3">
      <c r="B64" s="190">
        <v>2043</v>
      </c>
      <c r="C64" s="192">
        <v>0</v>
      </c>
      <c r="D64" s="191">
        <f t="shared" si="2"/>
        <v>13.596918280409442</v>
      </c>
      <c r="E64" s="191">
        <f t="shared" si="3"/>
        <v>16.927249669640162</v>
      </c>
      <c r="F64" s="191">
        <f t="shared" si="4"/>
        <v>16.152278078125843</v>
      </c>
      <c r="G64" s="191">
        <f t="shared" si="5"/>
        <v>15.35921156945416</v>
      </c>
      <c r="H64" s="191">
        <f t="shared" si="6"/>
        <v>13.7961428418708</v>
      </c>
      <c r="J64" s="190" t="s">
        <v>745</v>
      </c>
      <c r="K64" s="201">
        <v>8.1000000000000003E-2</v>
      </c>
      <c r="L64" s="201">
        <v>1.2E-4</v>
      </c>
      <c r="M64" s="201">
        <v>8.6899999999999996E-7</v>
      </c>
      <c r="O64" s="190">
        <v>2043</v>
      </c>
      <c r="P64" s="191">
        <f t="shared" si="8"/>
        <v>181.62912</v>
      </c>
      <c r="Q64" s="191">
        <f t="shared" si="9"/>
        <v>4901.3777600000012</v>
      </c>
      <c r="R64" s="191">
        <f t="shared" si="10"/>
        <v>67994.842640000003</v>
      </c>
      <c r="T64" s="190">
        <v>2043</v>
      </c>
      <c r="U64" s="197">
        <v>165.72</v>
      </c>
      <c r="V64" s="197">
        <v>4472.0600000000004</v>
      </c>
      <c r="W64" s="197">
        <v>62039.09</v>
      </c>
    </row>
    <row r="65" spans="2:23" x14ac:dyDescent="0.3">
      <c r="B65" s="190">
        <v>2044</v>
      </c>
      <c r="C65" s="192">
        <v>0</v>
      </c>
      <c r="D65" s="191">
        <f t="shared" si="2"/>
        <v>13.773284247779682</v>
      </c>
      <c r="E65" s="191">
        <f t="shared" si="3"/>
        <v>17.140385102871523</v>
      </c>
      <c r="F65" s="191">
        <f t="shared" si="4"/>
        <v>16.355657909790484</v>
      </c>
      <c r="G65" s="191">
        <f t="shared" si="5"/>
        <v>15.552610918589522</v>
      </c>
      <c r="H65" s="191">
        <f t="shared" si="6"/>
        <v>13.9698881936276</v>
      </c>
      <c r="J65" s="190" t="s">
        <v>746</v>
      </c>
      <c r="K65" s="201">
        <v>7.2700000000000001E-2</v>
      </c>
      <c r="L65" s="201">
        <v>1.0900000000000001E-4</v>
      </c>
      <c r="M65" s="201">
        <v>8.4499999999999996E-7</v>
      </c>
      <c r="O65" s="190">
        <v>2044</v>
      </c>
      <c r="P65" s="191">
        <f t="shared" si="8"/>
        <v>183.88688000000002</v>
      </c>
      <c r="Q65" s="191">
        <f t="shared" si="9"/>
        <v>4982.5694400000011</v>
      </c>
      <c r="R65" s="191">
        <f t="shared" si="10"/>
        <v>68889.880080000003</v>
      </c>
      <c r="T65" s="190">
        <v>2044</v>
      </c>
      <c r="U65" s="197">
        <v>167.78</v>
      </c>
      <c r="V65" s="197">
        <v>4546.1400000000003</v>
      </c>
      <c r="W65" s="197">
        <v>62855.73</v>
      </c>
    </row>
    <row r="66" spans="2:23" x14ac:dyDescent="0.3">
      <c r="B66" s="190">
        <v>2045</v>
      </c>
      <c r="C66" s="192">
        <v>0</v>
      </c>
      <c r="D66" s="191">
        <f t="shared" si="2"/>
        <v>13.948937815149923</v>
      </c>
      <c r="E66" s="191">
        <f t="shared" si="3"/>
        <v>17.352541808102881</v>
      </c>
      <c r="F66" s="191">
        <f t="shared" si="4"/>
        <v>16.558103949455123</v>
      </c>
      <c r="G66" s="191">
        <f t="shared" si="5"/>
        <v>15.745122507724881</v>
      </c>
      <c r="H66" s="191">
        <f t="shared" si="6"/>
        <v>14.142836753384403</v>
      </c>
      <c r="J66" s="234" t="s">
        <v>767</v>
      </c>
      <c r="K66" s="234"/>
      <c r="L66" s="234"/>
      <c r="M66" s="234"/>
      <c r="N66" s="234"/>
      <c r="O66" s="190">
        <v>2045</v>
      </c>
      <c r="P66" s="191">
        <f t="shared" si="8"/>
        <v>186.13368000000003</v>
      </c>
      <c r="Q66" s="191">
        <f t="shared" si="9"/>
        <v>5063.761120000001</v>
      </c>
      <c r="R66" s="191">
        <f t="shared" si="10"/>
        <v>69784.917520000003</v>
      </c>
      <c r="T66" s="190">
        <v>2045</v>
      </c>
      <c r="U66" s="197">
        <v>169.83</v>
      </c>
      <c r="V66" s="197">
        <v>4620.22</v>
      </c>
      <c r="W66" s="197">
        <v>63672.37</v>
      </c>
    </row>
    <row r="67" spans="2:23" ht="14.7" customHeight="1" x14ac:dyDescent="0.3">
      <c r="B67" s="190">
        <v>2046</v>
      </c>
      <c r="C67" s="192">
        <v>0</v>
      </c>
      <c r="D67" s="191">
        <f t="shared" si="2"/>
        <v>14.096233242134884</v>
      </c>
      <c r="E67" s="191">
        <f t="shared" si="3"/>
        <v>17.524910605604322</v>
      </c>
      <c r="F67" s="191">
        <f t="shared" si="4"/>
        <v>16.722590032977681</v>
      </c>
      <c r="G67" s="191">
        <f t="shared" si="5"/>
        <v>15.901547065482323</v>
      </c>
      <c r="H67" s="191">
        <f t="shared" si="6"/>
        <v>14.283401518811601</v>
      </c>
      <c r="J67" s="234"/>
      <c r="K67" s="234"/>
      <c r="L67" s="234"/>
      <c r="M67" s="234"/>
      <c r="N67" s="234"/>
      <c r="O67" s="190">
        <v>2046</v>
      </c>
      <c r="P67" s="191">
        <f t="shared" si="8"/>
        <v>187.93112000000002</v>
      </c>
      <c r="Q67" s="191">
        <f t="shared" si="9"/>
        <v>5147.2763200000009</v>
      </c>
      <c r="R67" s="191">
        <f t="shared" si="10"/>
        <v>70717.131280000001</v>
      </c>
      <c r="T67" s="190">
        <v>2046</v>
      </c>
      <c r="U67" s="197">
        <v>171.47</v>
      </c>
      <c r="V67" s="197">
        <v>4696.42</v>
      </c>
      <c r="W67" s="197">
        <v>64522.93</v>
      </c>
    </row>
    <row r="68" spans="2:23" x14ac:dyDescent="0.3">
      <c r="B68" s="190">
        <v>2047</v>
      </c>
      <c r="C68" s="192">
        <v>0</v>
      </c>
      <c r="D68" s="191">
        <f t="shared" si="2"/>
        <v>14.243528671816001</v>
      </c>
      <c r="E68" s="191">
        <f t="shared" si="3"/>
        <v>17.697279412904003</v>
      </c>
      <c r="F68" s="191">
        <f t="shared" si="4"/>
        <v>16.887076126156</v>
      </c>
      <c r="G68" s="191">
        <f t="shared" si="5"/>
        <v>16.057971632764001</v>
      </c>
      <c r="H68" s="191">
        <f t="shared" si="6"/>
        <v>14.423966293500003</v>
      </c>
      <c r="J68" s="234"/>
      <c r="K68" s="234"/>
      <c r="L68" s="234"/>
      <c r="M68" s="234"/>
      <c r="N68" s="234"/>
      <c r="O68" s="190">
        <v>2047</v>
      </c>
      <c r="P68" s="191">
        <f t="shared" si="8"/>
        <v>189.72856000000002</v>
      </c>
      <c r="Q68" s="191">
        <f t="shared" si="9"/>
        <v>5230.7915200000007</v>
      </c>
      <c r="R68" s="191">
        <f t="shared" si="10"/>
        <v>71649.356</v>
      </c>
      <c r="T68" s="190">
        <v>2047</v>
      </c>
      <c r="U68" s="197">
        <v>173.11</v>
      </c>
      <c r="V68" s="197">
        <v>4772.62</v>
      </c>
      <c r="W68" s="197">
        <v>65373.5</v>
      </c>
    </row>
    <row r="69" spans="2:23" ht="14.7" customHeight="1" x14ac:dyDescent="0.3">
      <c r="B69" s="190">
        <v>2048</v>
      </c>
      <c r="C69" s="192">
        <v>0</v>
      </c>
      <c r="D69" s="191">
        <f t="shared" si="2"/>
        <v>14.370876898800962</v>
      </c>
      <c r="E69" s="191">
        <f t="shared" si="3"/>
        <v>17.84224382640544</v>
      </c>
      <c r="F69" s="191">
        <f t="shared" si="4"/>
        <v>17.02541603367856</v>
      </c>
      <c r="G69" s="191">
        <f t="shared" si="5"/>
        <v>16.189538910521442</v>
      </c>
      <c r="H69" s="191">
        <f t="shared" si="6"/>
        <v>14.542220882927202</v>
      </c>
      <c r="J69" s="234" t="s">
        <v>768</v>
      </c>
      <c r="K69" s="234"/>
      <c r="L69" s="234"/>
      <c r="M69" s="234"/>
      <c r="N69" s="234"/>
      <c r="O69" s="190">
        <v>2048</v>
      </c>
      <c r="P69" s="191">
        <f t="shared" si="8"/>
        <v>191.21912</v>
      </c>
      <c r="Q69" s="191">
        <f t="shared" si="9"/>
        <v>5314.3067200000005</v>
      </c>
      <c r="R69" s="191">
        <f t="shared" si="10"/>
        <v>72581.569759999998</v>
      </c>
      <c r="T69" s="190">
        <v>2048</v>
      </c>
      <c r="U69" s="197">
        <v>174.47</v>
      </c>
      <c r="V69" s="197">
        <v>4848.82</v>
      </c>
      <c r="W69" s="197">
        <v>66224.06</v>
      </c>
    </row>
    <row r="70" spans="2:23" x14ac:dyDescent="0.3">
      <c r="B70" s="190">
        <v>2049</v>
      </c>
      <c r="C70" s="192">
        <v>0</v>
      </c>
      <c r="D70" s="191">
        <f t="shared" si="2"/>
        <v>14.538831928482084</v>
      </c>
      <c r="E70" s="191">
        <f t="shared" si="3"/>
        <v>18.04299574570512</v>
      </c>
      <c r="F70" s="191">
        <f t="shared" si="4"/>
        <v>17.216982094856881</v>
      </c>
      <c r="G70" s="191">
        <f t="shared" si="5"/>
        <v>16.371708517803125</v>
      </c>
      <c r="H70" s="191">
        <f t="shared" si="6"/>
        <v>14.705892625615602</v>
      </c>
      <c r="J70" s="234"/>
      <c r="K70" s="234"/>
      <c r="L70" s="234"/>
      <c r="M70" s="234"/>
      <c r="N70" s="234"/>
      <c r="O70" s="190">
        <v>2049</v>
      </c>
      <c r="P70" s="191">
        <f t="shared" si="8"/>
        <v>193.33440000000002</v>
      </c>
      <c r="Q70" s="191">
        <f t="shared" si="9"/>
        <v>5397.8219200000012</v>
      </c>
      <c r="R70" s="191">
        <f t="shared" si="10"/>
        <v>73513.794480000011</v>
      </c>
      <c r="T70" s="190">
        <v>2049</v>
      </c>
      <c r="U70" s="197">
        <v>176.4</v>
      </c>
      <c r="V70" s="197">
        <v>4925.0200000000004</v>
      </c>
      <c r="W70" s="197">
        <v>67074.63</v>
      </c>
    </row>
    <row r="71" spans="2:23" x14ac:dyDescent="0.3">
      <c r="B71" s="190">
        <v>2050</v>
      </c>
      <c r="C71" s="192">
        <v>0</v>
      </c>
      <c r="D71" s="191">
        <f t="shared" si="2"/>
        <v>14.686127355467042</v>
      </c>
      <c r="E71" s="191">
        <f t="shared" si="3"/>
        <v>18.215364543206562</v>
      </c>
      <c r="F71" s="191">
        <f t="shared" si="4"/>
        <v>17.381468178379439</v>
      </c>
      <c r="G71" s="191">
        <f t="shared" si="5"/>
        <v>16.528133075560564</v>
      </c>
      <c r="H71" s="191">
        <f t="shared" si="6"/>
        <v>14.846457391042801</v>
      </c>
      <c r="J71" s="234"/>
      <c r="K71" s="234"/>
      <c r="L71" s="234"/>
      <c r="M71" s="234"/>
      <c r="N71" s="234"/>
      <c r="O71" s="190">
        <v>2050</v>
      </c>
      <c r="P71" s="191">
        <f t="shared" si="8"/>
        <v>195.13184000000001</v>
      </c>
      <c r="Q71" s="191">
        <f t="shared" si="9"/>
        <v>5481.3371200000011</v>
      </c>
      <c r="R71" s="191">
        <f t="shared" si="10"/>
        <v>74446.00824000001</v>
      </c>
      <c r="T71" s="190">
        <v>2050</v>
      </c>
      <c r="U71" s="197">
        <v>178.04</v>
      </c>
      <c r="V71" s="197">
        <v>5001.22</v>
      </c>
      <c r="W71" s="197">
        <v>67925.19</v>
      </c>
    </row>
    <row r="72" spans="2:23" x14ac:dyDescent="0.3">
      <c r="J72" s="234"/>
      <c r="K72" s="234"/>
      <c r="L72" s="234"/>
      <c r="M72" s="234"/>
      <c r="N72" s="234"/>
      <c r="O72" s="251" t="s">
        <v>776</v>
      </c>
      <c r="P72" s="251"/>
      <c r="Q72" s="251"/>
      <c r="R72" s="251"/>
    </row>
    <row r="73" spans="2:23" ht="15" customHeight="1" x14ac:dyDescent="0.3">
      <c r="B73" s="234" t="s">
        <v>769</v>
      </c>
      <c r="C73" s="234"/>
      <c r="D73" s="234"/>
      <c r="E73" s="234"/>
      <c r="F73" s="234"/>
      <c r="G73" s="234"/>
      <c r="H73" s="234"/>
      <c r="J73" s="234"/>
      <c r="K73" s="234"/>
      <c r="L73" s="234"/>
      <c r="M73" s="234"/>
      <c r="N73" s="234"/>
      <c r="O73" s="241"/>
      <c r="P73" s="241"/>
      <c r="Q73" s="241"/>
      <c r="R73" s="241"/>
    </row>
    <row r="74" spans="2:23" ht="15" customHeight="1" x14ac:dyDescent="0.3">
      <c r="B74" s="234" t="s">
        <v>770</v>
      </c>
      <c r="C74" s="234"/>
      <c r="D74" s="234"/>
      <c r="E74" s="234"/>
      <c r="F74" s="234"/>
      <c r="G74" s="234"/>
      <c r="H74" s="234"/>
      <c r="O74" s="241"/>
      <c r="P74" s="241"/>
      <c r="Q74" s="241"/>
      <c r="R74" s="241"/>
    </row>
    <row r="75" spans="2:23" ht="15" customHeight="1" x14ac:dyDescent="0.3">
      <c r="B75" s="234"/>
      <c r="C75" s="234"/>
      <c r="D75" s="234"/>
      <c r="E75" s="234"/>
      <c r="F75" s="234"/>
      <c r="G75" s="234"/>
      <c r="H75" s="234"/>
    </row>
    <row r="76" spans="2:23" x14ac:dyDescent="0.3">
      <c r="B76" s="234" t="s">
        <v>775</v>
      </c>
      <c r="C76" s="234"/>
      <c r="D76" s="234"/>
      <c r="E76" s="234"/>
      <c r="F76" s="234"/>
      <c r="G76" s="234"/>
      <c r="H76" s="234"/>
    </row>
    <row r="77" spans="2:23" x14ac:dyDescent="0.3">
      <c r="B77" s="234"/>
      <c r="C77" s="234"/>
      <c r="D77" s="234"/>
      <c r="E77" s="234"/>
      <c r="F77" s="234"/>
      <c r="G77" s="234"/>
      <c r="H77" s="234"/>
    </row>
    <row r="78" spans="2:23" x14ac:dyDescent="0.3"/>
    <row r="79" spans="2:23" x14ac:dyDescent="0.3"/>
    <row r="80" spans="2:23" x14ac:dyDescent="0.3"/>
    <row r="81" customFormat="1" x14ac:dyDescent="0.3"/>
    <row r="82" customFormat="1" x14ac:dyDescent="0.3"/>
  </sheetData>
  <sheetProtection algorithmName="SHA-512" hashValue="okGdg/jo1fPi3jDyll7FmZrCWPBocQR+TAsi4RQ60pyTHjDifAJSsd1Rto9hgc4Zv4az9D8c1TVJigOqtt3TMw==" saltValue="JInddqVFz3Dj2R9QpePYXA==" spinCount="100000" sheet="1" objects="1" scenarios="1"/>
  <mergeCells count="18">
    <mergeCell ref="O72:R74"/>
    <mergeCell ref="B73:H73"/>
    <mergeCell ref="B74:H75"/>
    <mergeCell ref="B76:H77"/>
    <mergeCell ref="J53:M55"/>
    <mergeCell ref="J56:M57"/>
    <mergeCell ref="J58:J60"/>
    <mergeCell ref="K58:M59"/>
    <mergeCell ref="J66:N68"/>
    <mergeCell ref="J69:N73"/>
    <mergeCell ref="D6:H6"/>
    <mergeCell ref="J41:M42"/>
    <mergeCell ref="O41:R42"/>
    <mergeCell ref="T41:W42"/>
    <mergeCell ref="D43:H43"/>
    <mergeCell ref="K43:M43"/>
    <mergeCell ref="O43:R43"/>
    <mergeCell ref="T43:W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20B2-5243-4A1B-973E-D9B228B641A9}">
  <sheetPr codeName="Sheet2">
    <tabColor theme="9" tint="0.79998168889431442"/>
  </sheetPr>
  <dimension ref="A1:G65"/>
  <sheetViews>
    <sheetView showGridLines="0" zoomScale="70" zoomScaleNormal="70" workbookViewId="0">
      <selection activeCell="F8" sqref="F8"/>
    </sheetView>
  </sheetViews>
  <sheetFormatPr defaultColWidth="0" defaultRowHeight="14.4" zeroHeight="1" x14ac:dyDescent="0.3"/>
  <cols>
    <col min="1" max="1" width="1.5546875" customWidth="1"/>
    <col min="2" max="2" width="38.6640625" customWidth="1"/>
    <col min="3" max="5" width="20.6640625" customWidth="1"/>
    <col min="6" max="6" width="22.6640625" customWidth="1"/>
    <col min="7" max="7" width="8.6640625" customWidth="1"/>
    <col min="8" max="16384" width="8.6640625" hidden="1"/>
  </cols>
  <sheetData>
    <row r="1" spans="1:6" ht="9" customHeight="1" x14ac:dyDescent="0.3"/>
    <row r="2" spans="1:6" ht="15.6" x14ac:dyDescent="0.3">
      <c r="B2" s="143" t="s">
        <v>600</v>
      </c>
    </row>
    <row r="3" spans="1:6" ht="9" customHeight="1" x14ac:dyDescent="0.3"/>
    <row r="4" spans="1:6" x14ac:dyDescent="0.3">
      <c r="B4" s="13" t="s">
        <v>713</v>
      </c>
    </row>
    <row r="5" spans="1:6" ht="18" customHeight="1" x14ac:dyDescent="0.3">
      <c r="B5" s="232" t="s">
        <v>601</v>
      </c>
      <c r="C5" s="232"/>
      <c r="D5" s="232"/>
      <c r="E5" s="232"/>
      <c r="F5" s="232"/>
    </row>
    <row r="6" spans="1:6" x14ac:dyDescent="0.3">
      <c r="B6" s="134"/>
      <c r="C6" s="135" t="s">
        <v>513</v>
      </c>
      <c r="D6" s="135" t="s">
        <v>514</v>
      </c>
      <c r="E6" s="135" t="s">
        <v>515</v>
      </c>
      <c r="F6" s="135" t="s">
        <v>517</v>
      </c>
    </row>
    <row r="7" spans="1:6" x14ac:dyDescent="0.3">
      <c r="B7" s="133" t="s">
        <v>602</v>
      </c>
      <c r="C7" s="139">
        <f>'1 Summary'!C26</f>
        <v>0</v>
      </c>
      <c r="D7" s="139">
        <f>'1 Summary'!D26</f>
        <v>0</v>
      </c>
      <c r="E7" s="139">
        <f>'1 Summary'!E26</f>
        <v>0</v>
      </c>
      <c r="F7" s="140" t="str">
        <f>'1 Summary'!F26</f>
        <v/>
      </c>
    </row>
    <row r="8" spans="1:6" x14ac:dyDescent="0.3">
      <c r="B8" s="133" t="s">
        <v>603</v>
      </c>
      <c r="C8" s="141">
        <f>'1 Summary'!C34</f>
        <v>0</v>
      </c>
      <c r="D8" s="141">
        <f>'1 Summary'!D34</f>
        <v>0</v>
      </c>
      <c r="E8" s="141">
        <f>'1 Summary'!E34</f>
        <v>0</v>
      </c>
      <c r="F8" s="142" t="str">
        <f>'1 Summary'!F34</f>
        <v/>
      </c>
    </row>
    <row r="9" spans="1:6" ht="18" customHeight="1" x14ac:dyDescent="0.3">
      <c r="B9" s="232" t="s">
        <v>604</v>
      </c>
      <c r="C9" s="232"/>
      <c r="D9" s="232"/>
      <c r="E9" s="232"/>
      <c r="F9" s="232"/>
    </row>
    <row r="10" spans="1:6" x14ac:dyDescent="0.3">
      <c r="B10" s="134"/>
      <c r="C10" s="135"/>
      <c r="D10" s="135"/>
      <c r="E10" s="135"/>
      <c r="F10" s="135" t="s">
        <v>605</v>
      </c>
    </row>
    <row r="11" spans="1:6" x14ac:dyDescent="0.3">
      <c r="A11" s="15"/>
      <c r="B11" s="136" t="s">
        <v>566</v>
      </c>
      <c r="C11" s="137"/>
      <c r="D11" s="137"/>
      <c r="E11" s="138"/>
      <c r="F11" s="141">
        <f>'1 Summary'!E45</f>
        <v>0</v>
      </c>
    </row>
    <row r="12" spans="1:6" ht="16.2" x14ac:dyDescent="0.3">
      <c r="A12" s="15"/>
      <c r="B12" s="136" t="s">
        <v>714</v>
      </c>
      <c r="C12" s="137"/>
      <c r="D12" s="137"/>
      <c r="E12" s="138"/>
      <c r="F12" s="141">
        <f>'1 Summary'!E46</f>
        <v>0</v>
      </c>
    </row>
    <row r="13" spans="1:6" x14ac:dyDescent="0.3">
      <c r="A13" s="15"/>
      <c r="B13" s="136" t="s">
        <v>699</v>
      </c>
      <c r="C13" s="137"/>
      <c r="D13" s="137"/>
      <c r="E13" s="138"/>
      <c r="F13" s="141">
        <f>'1 Summary'!E47</f>
        <v>0</v>
      </c>
    </row>
    <row r="14" spans="1:6" x14ac:dyDescent="0.3">
      <c r="A14" s="15"/>
      <c r="B14" s="136" t="s">
        <v>700</v>
      </c>
      <c r="C14" s="137"/>
      <c r="D14" s="137"/>
      <c r="E14" s="138"/>
      <c r="F14" s="141">
        <f>'1 Summary'!E48</f>
        <v>0</v>
      </c>
    </row>
    <row r="15" spans="1:6" x14ac:dyDescent="0.3">
      <c r="A15" s="16"/>
      <c r="B15" s="136" t="s">
        <v>701</v>
      </c>
      <c r="C15" s="137"/>
      <c r="D15" s="137"/>
      <c r="E15" s="138"/>
      <c r="F15" s="141">
        <f>'1 Summary'!E49</f>
        <v>0</v>
      </c>
    </row>
    <row r="16" spans="1:6" ht="24" customHeight="1" x14ac:dyDescent="0.3">
      <c r="A16" s="16"/>
      <c r="B16" s="263" t="s">
        <v>786</v>
      </c>
      <c r="C16" s="263"/>
      <c r="D16" s="263"/>
      <c r="E16" s="263"/>
      <c r="F16" s="263"/>
    </row>
    <row r="17" spans="1:6" ht="24" customHeight="1" x14ac:dyDescent="0.3">
      <c r="A17" s="16"/>
      <c r="B17" s="264"/>
      <c r="C17" s="264"/>
      <c r="D17" s="264"/>
      <c r="E17" s="264"/>
      <c r="F17" s="264"/>
    </row>
    <row r="18" spans="1:6" hidden="1" x14ac:dyDescent="0.3">
      <c r="A18" s="15"/>
    </row>
    <row r="19" spans="1:6" hidden="1" x14ac:dyDescent="0.3">
      <c r="A19" s="16"/>
    </row>
    <row r="20" spans="1:6" hidden="1" x14ac:dyDescent="0.3">
      <c r="A20" s="16"/>
    </row>
    <row r="21" spans="1:6" hidden="1" x14ac:dyDescent="0.3">
      <c r="A21" s="16"/>
    </row>
    <row r="22" spans="1:6" hidden="1" x14ac:dyDescent="0.3">
      <c r="A22" s="16"/>
    </row>
    <row r="23" spans="1:6" hidden="1" x14ac:dyDescent="0.3">
      <c r="A23" s="16"/>
    </row>
    <row r="24" spans="1:6" hidden="1" x14ac:dyDescent="0.3">
      <c r="A24" s="16"/>
    </row>
    <row r="25" spans="1:6" hidden="1" x14ac:dyDescent="0.3">
      <c r="A25" s="16"/>
    </row>
    <row r="26" spans="1:6" hidden="1" x14ac:dyDescent="0.3">
      <c r="A26" s="16"/>
    </row>
    <row r="27" spans="1:6" hidden="1" x14ac:dyDescent="0.3">
      <c r="A27" s="16"/>
    </row>
    <row r="28" spans="1:6" hidden="1" x14ac:dyDescent="0.3">
      <c r="A28" s="16"/>
    </row>
    <row r="29" spans="1:6" hidden="1" x14ac:dyDescent="0.3">
      <c r="A29" s="16"/>
    </row>
    <row r="30" spans="1:6" hidden="1" x14ac:dyDescent="0.3">
      <c r="A30" s="16"/>
    </row>
    <row r="31" spans="1:6" hidden="1" x14ac:dyDescent="0.3">
      <c r="A31" s="16"/>
    </row>
    <row r="32" spans="1:6" hidden="1" x14ac:dyDescent="0.3">
      <c r="A32" s="16"/>
    </row>
    <row r="33" spans="1:1" hidden="1" x14ac:dyDescent="0.3">
      <c r="A33" s="16"/>
    </row>
    <row r="34" spans="1:1" hidden="1" x14ac:dyDescent="0.3">
      <c r="A34" s="16"/>
    </row>
    <row r="35" spans="1:1" hidden="1" x14ac:dyDescent="0.3">
      <c r="A35" s="16"/>
    </row>
    <row r="36" spans="1:1" hidden="1" x14ac:dyDescent="0.3">
      <c r="A36" s="16"/>
    </row>
    <row r="37" spans="1:1" hidden="1" x14ac:dyDescent="0.3">
      <c r="A37" s="16"/>
    </row>
    <row r="38" spans="1:1" hidden="1" x14ac:dyDescent="0.3">
      <c r="A38" s="16"/>
    </row>
    <row r="39" spans="1:1" hidden="1" x14ac:dyDescent="0.3">
      <c r="A39" s="16"/>
    </row>
    <row r="40" spans="1:1" hidden="1" x14ac:dyDescent="0.3">
      <c r="A40" s="16"/>
    </row>
    <row r="41" spans="1:1" hidden="1" x14ac:dyDescent="0.3">
      <c r="A41" s="16"/>
    </row>
    <row r="42" spans="1:1" hidden="1" x14ac:dyDescent="0.3">
      <c r="A42" s="16"/>
    </row>
    <row r="43" spans="1:1" hidden="1" x14ac:dyDescent="0.3">
      <c r="A43" s="16"/>
    </row>
    <row r="44" spans="1:1" hidden="1" x14ac:dyDescent="0.3">
      <c r="A44" s="16"/>
    </row>
    <row r="45" spans="1:1" hidden="1" x14ac:dyDescent="0.3">
      <c r="A45" s="16"/>
    </row>
    <row r="46" spans="1:1" hidden="1" x14ac:dyDescent="0.3">
      <c r="A46" s="16"/>
    </row>
    <row r="47" spans="1:1" hidden="1" x14ac:dyDescent="0.3">
      <c r="A47" s="16"/>
    </row>
    <row r="48" spans="1:1" hidden="1" x14ac:dyDescent="0.3">
      <c r="A48" s="16"/>
    </row>
    <row r="49" spans="1:1" hidden="1" x14ac:dyDescent="0.3">
      <c r="A49" s="16"/>
    </row>
    <row r="50" spans="1:1" hidden="1" x14ac:dyDescent="0.3">
      <c r="A50" s="16"/>
    </row>
    <row r="63" spans="1:1" x14ac:dyDescent="0.3"/>
    <row r="64" spans="1:1" x14ac:dyDescent="0.3"/>
    <row r="65" x14ac:dyDescent="0.3"/>
  </sheetData>
  <sheetProtection algorithmName="SHA-512" hashValue="l0o48qZUC1+TrCwOJHN04xyahYEZLGvppfr7dWBaQa9DMDcxYsWPZkQ6Dik0d6GHvnKe6AvPqICE5ri/fGgpNw==" saltValue="alq87sC36xhfWkXVFnD+Vw==" spinCount="100000" sheet="1" objects="1" scenarios="1"/>
  <mergeCells count="3">
    <mergeCell ref="B16:F17"/>
    <mergeCell ref="B5:F5"/>
    <mergeCell ref="B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317AD-1EFA-435B-8738-A986A5A57588}">
  <sheetPr codeName="Sheet3">
    <tabColor theme="9" tint="0.79998168889431442"/>
  </sheetPr>
  <dimension ref="A1:BC45"/>
  <sheetViews>
    <sheetView showGridLines="0" zoomScale="70" zoomScaleNormal="70" workbookViewId="0">
      <selection activeCell="D22" sqref="D22"/>
    </sheetView>
  </sheetViews>
  <sheetFormatPr defaultColWidth="0" defaultRowHeight="14.4" zeroHeight="1" x14ac:dyDescent="0.3"/>
  <cols>
    <col min="1" max="1" width="1.5546875" customWidth="1"/>
    <col min="2" max="2" width="35.33203125" customWidth="1"/>
    <col min="3" max="3" width="28.6640625" customWidth="1"/>
    <col min="4" max="4" width="25.33203125" customWidth="1"/>
    <col min="5" max="53" width="19.6640625" customWidth="1"/>
    <col min="54" max="55" width="14.5546875" customWidth="1"/>
    <col min="56" max="16384" width="14.5546875" hidden="1"/>
  </cols>
  <sheetData>
    <row r="1" spans="2:53" x14ac:dyDescent="0.3"/>
    <row r="2" spans="2:53" x14ac:dyDescent="0.3"/>
    <row r="3" spans="2:53" x14ac:dyDescent="0.3"/>
    <row r="4" spans="2:53" x14ac:dyDescent="0.3"/>
    <row r="5" spans="2:53" x14ac:dyDescent="0.3">
      <c r="B5" s="1" t="s">
        <v>702</v>
      </c>
      <c r="C5" s="14"/>
    </row>
    <row r="6" spans="2:53" ht="15" thickBot="1" x14ac:dyDescent="0.35">
      <c r="E6" s="7"/>
    </row>
    <row r="7" spans="2:53" x14ac:dyDescent="0.3">
      <c r="B7" s="114" t="s">
        <v>573</v>
      </c>
      <c r="C7" s="115"/>
      <c r="D7" s="176" t="e">
        <f>'4 Construction Scope'!$D$12</f>
        <v>#DIV/0!</v>
      </c>
      <c r="E7" s="116"/>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7"/>
    </row>
    <row r="8" spans="2:53" x14ac:dyDescent="0.3">
      <c r="B8" s="118" t="s">
        <v>521</v>
      </c>
      <c r="C8" s="147"/>
      <c r="D8" s="148">
        <f>'4 Construction Scope'!$D$13</f>
        <v>0</v>
      </c>
      <c r="E8" s="148">
        <f>D8+1</f>
        <v>1</v>
      </c>
      <c r="F8" s="148">
        <f t="shared" ref="F8:AZ8" si="0">E8+1</f>
        <v>2</v>
      </c>
      <c r="G8" s="148">
        <f t="shared" si="0"/>
        <v>3</v>
      </c>
      <c r="H8" s="148">
        <f t="shared" si="0"/>
        <v>4</v>
      </c>
      <c r="I8" s="148">
        <f t="shared" si="0"/>
        <v>5</v>
      </c>
      <c r="J8" s="148">
        <f t="shared" si="0"/>
        <v>6</v>
      </c>
      <c r="K8" s="148">
        <f t="shared" si="0"/>
        <v>7</v>
      </c>
      <c r="L8" s="148">
        <f t="shared" si="0"/>
        <v>8</v>
      </c>
      <c r="M8" s="148">
        <f t="shared" si="0"/>
        <v>9</v>
      </c>
      <c r="N8" s="148">
        <f t="shared" si="0"/>
        <v>10</v>
      </c>
      <c r="O8" s="148">
        <f t="shared" si="0"/>
        <v>11</v>
      </c>
      <c r="P8" s="148">
        <f t="shared" si="0"/>
        <v>12</v>
      </c>
      <c r="Q8" s="148">
        <f t="shared" si="0"/>
        <v>13</v>
      </c>
      <c r="R8" s="148">
        <f t="shared" si="0"/>
        <v>14</v>
      </c>
      <c r="S8" s="148">
        <f t="shared" si="0"/>
        <v>15</v>
      </c>
      <c r="T8" s="148">
        <f t="shared" si="0"/>
        <v>16</v>
      </c>
      <c r="U8" s="148">
        <f t="shared" si="0"/>
        <v>17</v>
      </c>
      <c r="V8" s="148">
        <f t="shared" si="0"/>
        <v>18</v>
      </c>
      <c r="W8" s="148">
        <f t="shared" si="0"/>
        <v>19</v>
      </c>
      <c r="X8" s="148">
        <f t="shared" si="0"/>
        <v>20</v>
      </c>
      <c r="Y8" s="148">
        <f t="shared" si="0"/>
        <v>21</v>
      </c>
      <c r="Z8" s="148">
        <f t="shared" si="0"/>
        <v>22</v>
      </c>
      <c r="AA8" s="148">
        <f t="shared" si="0"/>
        <v>23</v>
      </c>
      <c r="AB8" s="148">
        <f t="shared" si="0"/>
        <v>24</v>
      </c>
      <c r="AC8" s="148">
        <f t="shared" si="0"/>
        <v>25</v>
      </c>
      <c r="AD8" s="148">
        <f t="shared" si="0"/>
        <v>26</v>
      </c>
      <c r="AE8" s="148">
        <f t="shared" si="0"/>
        <v>27</v>
      </c>
      <c r="AF8" s="148">
        <f t="shared" si="0"/>
        <v>28</v>
      </c>
      <c r="AG8" s="148">
        <f t="shared" si="0"/>
        <v>29</v>
      </c>
      <c r="AH8" s="148">
        <f t="shared" si="0"/>
        <v>30</v>
      </c>
      <c r="AI8" s="148">
        <f t="shared" si="0"/>
        <v>31</v>
      </c>
      <c r="AJ8" s="148">
        <f t="shared" si="0"/>
        <v>32</v>
      </c>
      <c r="AK8" s="148">
        <f t="shared" si="0"/>
        <v>33</v>
      </c>
      <c r="AL8" s="148">
        <f t="shared" si="0"/>
        <v>34</v>
      </c>
      <c r="AM8" s="148">
        <f t="shared" si="0"/>
        <v>35</v>
      </c>
      <c r="AN8" s="148">
        <f t="shared" si="0"/>
        <v>36</v>
      </c>
      <c r="AO8" s="148">
        <f t="shared" si="0"/>
        <v>37</v>
      </c>
      <c r="AP8" s="148">
        <f t="shared" si="0"/>
        <v>38</v>
      </c>
      <c r="AQ8" s="148">
        <f t="shared" si="0"/>
        <v>39</v>
      </c>
      <c r="AR8" s="148">
        <f t="shared" si="0"/>
        <v>40</v>
      </c>
      <c r="AS8" s="148">
        <f t="shared" si="0"/>
        <v>41</v>
      </c>
      <c r="AT8" s="148">
        <f t="shared" si="0"/>
        <v>42</v>
      </c>
      <c r="AU8" s="148">
        <f t="shared" si="0"/>
        <v>43</v>
      </c>
      <c r="AV8" s="148">
        <f t="shared" si="0"/>
        <v>44</v>
      </c>
      <c r="AW8" s="148">
        <f t="shared" si="0"/>
        <v>45</v>
      </c>
      <c r="AX8" s="148">
        <f t="shared" si="0"/>
        <v>46</v>
      </c>
      <c r="AY8" s="148">
        <f t="shared" si="0"/>
        <v>47</v>
      </c>
      <c r="AZ8" s="148">
        <f t="shared" si="0"/>
        <v>48</v>
      </c>
      <c r="BA8" s="119">
        <f>AZ8+1</f>
        <v>49</v>
      </c>
    </row>
    <row r="9" spans="2:53" x14ac:dyDescent="0.3">
      <c r="B9" s="118" t="s">
        <v>522</v>
      </c>
      <c r="C9" s="147"/>
      <c r="D9" s="149">
        <v>1</v>
      </c>
      <c r="E9" s="149">
        <v>2</v>
      </c>
      <c r="F9" s="149">
        <v>3</v>
      </c>
      <c r="G9" s="149">
        <v>4</v>
      </c>
      <c r="H9" s="149">
        <v>5</v>
      </c>
      <c r="I9" s="149">
        <v>6</v>
      </c>
      <c r="J9" s="149">
        <v>7</v>
      </c>
      <c r="K9" s="149">
        <v>8</v>
      </c>
      <c r="L9" s="149">
        <v>9</v>
      </c>
      <c r="M9" s="149">
        <v>10</v>
      </c>
      <c r="N9" s="149">
        <v>11</v>
      </c>
      <c r="O9" s="149">
        <v>12</v>
      </c>
      <c r="P9" s="149">
        <v>13</v>
      </c>
      <c r="Q9" s="149">
        <v>14</v>
      </c>
      <c r="R9" s="149">
        <v>15</v>
      </c>
      <c r="S9" s="149">
        <v>16</v>
      </c>
      <c r="T9" s="149">
        <v>17</v>
      </c>
      <c r="U9" s="149">
        <v>18</v>
      </c>
      <c r="V9" s="149">
        <v>19</v>
      </c>
      <c r="W9" s="149">
        <v>20</v>
      </c>
      <c r="X9" s="149">
        <v>21</v>
      </c>
      <c r="Y9" s="149">
        <v>22</v>
      </c>
      <c r="Z9" s="149">
        <v>23</v>
      </c>
      <c r="AA9" s="149">
        <v>24</v>
      </c>
      <c r="AB9" s="149">
        <v>25</v>
      </c>
      <c r="AC9" s="149">
        <v>26</v>
      </c>
      <c r="AD9" s="149">
        <v>27</v>
      </c>
      <c r="AE9" s="149">
        <v>28</v>
      </c>
      <c r="AF9" s="149">
        <v>29</v>
      </c>
      <c r="AG9" s="149">
        <v>30</v>
      </c>
      <c r="AH9" s="149">
        <v>31</v>
      </c>
      <c r="AI9" s="149">
        <v>32</v>
      </c>
      <c r="AJ9" s="149">
        <v>33</v>
      </c>
      <c r="AK9" s="149">
        <v>34</v>
      </c>
      <c r="AL9" s="149">
        <v>35</v>
      </c>
      <c r="AM9" s="149">
        <v>36</v>
      </c>
      <c r="AN9" s="149">
        <v>37</v>
      </c>
      <c r="AO9" s="149">
        <v>38</v>
      </c>
      <c r="AP9" s="149">
        <v>39</v>
      </c>
      <c r="AQ9" s="149">
        <v>40</v>
      </c>
      <c r="AR9" s="149">
        <v>41</v>
      </c>
      <c r="AS9" s="149">
        <v>42</v>
      </c>
      <c r="AT9" s="149">
        <v>43</v>
      </c>
      <c r="AU9" s="149">
        <v>44</v>
      </c>
      <c r="AV9" s="149">
        <v>45</v>
      </c>
      <c r="AW9" s="149">
        <v>46</v>
      </c>
      <c r="AX9" s="149">
        <v>47</v>
      </c>
      <c r="AY9" s="149">
        <v>48</v>
      </c>
      <c r="AZ9" s="149">
        <v>49</v>
      </c>
      <c r="BA9" s="120">
        <v>50</v>
      </c>
    </row>
    <row r="10" spans="2:53" x14ac:dyDescent="0.3">
      <c r="B10" s="121" t="s">
        <v>500</v>
      </c>
      <c r="C10" s="150"/>
      <c r="D10" s="151">
        <v>0.03</v>
      </c>
      <c r="E10" s="151">
        <f>D10</f>
        <v>0.03</v>
      </c>
      <c r="F10" s="151">
        <f t="shared" ref="F10:BA10" si="1">E10</f>
        <v>0.03</v>
      </c>
      <c r="G10" s="151">
        <f t="shared" si="1"/>
        <v>0.03</v>
      </c>
      <c r="H10" s="151">
        <f t="shared" si="1"/>
        <v>0.03</v>
      </c>
      <c r="I10" s="151">
        <f t="shared" si="1"/>
        <v>0.03</v>
      </c>
      <c r="J10" s="151">
        <f t="shared" si="1"/>
        <v>0.03</v>
      </c>
      <c r="K10" s="151">
        <f t="shared" si="1"/>
        <v>0.03</v>
      </c>
      <c r="L10" s="151">
        <f t="shared" si="1"/>
        <v>0.03</v>
      </c>
      <c r="M10" s="151">
        <f t="shared" si="1"/>
        <v>0.03</v>
      </c>
      <c r="N10" s="151">
        <f t="shared" si="1"/>
        <v>0.03</v>
      </c>
      <c r="O10" s="151">
        <f t="shared" si="1"/>
        <v>0.03</v>
      </c>
      <c r="P10" s="151">
        <f t="shared" si="1"/>
        <v>0.03</v>
      </c>
      <c r="Q10" s="151">
        <f t="shared" si="1"/>
        <v>0.03</v>
      </c>
      <c r="R10" s="151">
        <f t="shared" si="1"/>
        <v>0.03</v>
      </c>
      <c r="S10" s="151">
        <f t="shared" si="1"/>
        <v>0.03</v>
      </c>
      <c r="T10" s="151">
        <f t="shared" si="1"/>
        <v>0.03</v>
      </c>
      <c r="U10" s="151">
        <f t="shared" si="1"/>
        <v>0.03</v>
      </c>
      <c r="V10" s="151">
        <f t="shared" si="1"/>
        <v>0.03</v>
      </c>
      <c r="W10" s="151">
        <f t="shared" si="1"/>
        <v>0.03</v>
      </c>
      <c r="X10" s="151">
        <f t="shared" si="1"/>
        <v>0.03</v>
      </c>
      <c r="Y10" s="151">
        <f t="shared" si="1"/>
        <v>0.03</v>
      </c>
      <c r="Z10" s="151">
        <f t="shared" si="1"/>
        <v>0.03</v>
      </c>
      <c r="AA10" s="151">
        <f t="shared" si="1"/>
        <v>0.03</v>
      </c>
      <c r="AB10" s="151">
        <f t="shared" si="1"/>
        <v>0.03</v>
      </c>
      <c r="AC10" s="151">
        <f t="shared" si="1"/>
        <v>0.03</v>
      </c>
      <c r="AD10" s="151">
        <f t="shared" si="1"/>
        <v>0.03</v>
      </c>
      <c r="AE10" s="151">
        <f t="shared" si="1"/>
        <v>0.03</v>
      </c>
      <c r="AF10" s="151">
        <f t="shared" si="1"/>
        <v>0.03</v>
      </c>
      <c r="AG10" s="151">
        <f t="shared" si="1"/>
        <v>0.03</v>
      </c>
      <c r="AH10" s="151">
        <f t="shared" si="1"/>
        <v>0.03</v>
      </c>
      <c r="AI10" s="151">
        <f t="shared" si="1"/>
        <v>0.03</v>
      </c>
      <c r="AJ10" s="151">
        <f t="shared" si="1"/>
        <v>0.03</v>
      </c>
      <c r="AK10" s="151">
        <f t="shared" si="1"/>
        <v>0.03</v>
      </c>
      <c r="AL10" s="151">
        <f t="shared" si="1"/>
        <v>0.03</v>
      </c>
      <c r="AM10" s="151">
        <f t="shared" si="1"/>
        <v>0.03</v>
      </c>
      <c r="AN10" s="151">
        <f t="shared" si="1"/>
        <v>0.03</v>
      </c>
      <c r="AO10" s="151">
        <f t="shared" si="1"/>
        <v>0.03</v>
      </c>
      <c r="AP10" s="151">
        <f t="shared" si="1"/>
        <v>0.03</v>
      </c>
      <c r="AQ10" s="151">
        <f t="shared" si="1"/>
        <v>0.03</v>
      </c>
      <c r="AR10" s="151">
        <f t="shared" si="1"/>
        <v>0.03</v>
      </c>
      <c r="AS10" s="151">
        <f t="shared" si="1"/>
        <v>0.03</v>
      </c>
      <c r="AT10" s="151">
        <f t="shared" si="1"/>
        <v>0.03</v>
      </c>
      <c r="AU10" s="151">
        <f t="shared" si="1"/>
        <v>0.03</v>
      </c>
      <c r="AV10" s="151">
        <f t="shared" si="1"/>
        <v>0.03</v>
      </c>
      <c r="AW10" s="151">
        <f t="shared" si="1"/>
        <v>0.03</v>
      </c>
      <c r="AX10" s="151">
        <f t="shared" si="1"/>
        <v>0.03</v>
      </c>
      <c r="AY10" s="151">
        <f t="shared" si="1"/>
        <v>0.03</v>
      </c>
      <c r="AZ10" s="151">
        <f t="shared" si="1"/>
        <v>0.03</v>
      </c>
      <c r="BA10" s="122">
        <f t="shared" si="1"/>
        <v>0.03</v>
      </c>
    </row>
    <row r="11" spans="2:53" ht="8.6999999999999993" customHeight="1" x14ac:dyDescent="0.3">
      <c r="B11" s="121"/>
      <c r="C11" s="150"/>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22"/>
    </row>
    <row r="12" spans="2:53" x14ac:dyDescent="0.3">
      <c r="B12" s="127" t="s">
        <v>777</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23"/>
    </row>
    <row r="13" spans="2:53" ht="7.5" customHeight="1" x14ac:dyDescent="0.3">
      <c r="B13" s="12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23"/>
    </row>
    <row r="14" spans="2:53" x14ac:dyDescent="0.3">
      <c r="B14" s="118" t="s">
        <v>501</v>
      </c>
      <c r="C14" s="147"/>
      <c r="D14" s="152">
        <f>'5 Savings Analysis'!T69-SUMIFS('5 Savings Analysis'!$T$19:$T$68,'5 Savings Analysis'!$C$19:$C$68,"Prequalified Measure")</f>
        <v>0</v>
      </c>
      <c r="E14" s="152" t="e">
        <f>IF(E9&gt;$D$7,0,D14*(1+E10))</f>
        <v>#DIV/0!</v>
      </c>
      <c r="F14" s="152" t="e">
        <f>IF(F9&gt;$D$7,0,E14*(1+F10))</f>
        <v>#DIV/0!</v>
      </c>
      <c r="G14" s="152" t="e">
        <f t="shared" ref="G14:BA14" si="2">IF(G9&gt;$D$7,0,F14*(1+G10))</f>
        <v>#DIV/0!</v>
      </c>
      <c r="H14" s="152" t="e">
        <f t="shared" si="2"/>
        <v>#DIV/0!</v>
      </c>
      <c r="I14" s="152" t="e">
        <f t="shared" si="2"/>
        <v>#DIV/0!</v>
      </c>
      <c r="J14" s="152" t="e">
        <f t="shared" si="2"/>
        <v>#DIV/0!</v>
      </c>
      <c r="K14" s="152" t="e">
        <f t="shared" si="2"/>
        <v>#DIV/0!</v>
      </c>
      <c r="L14" s="152" t="e">
        <f t="shared" si="2"/>
        <v>#DIV/0!</v>
      </c>
      <c r="M14" s="152" t="e">
        <f t="shared" si="2"/>
        <v>#DIV/0!</v>
      </c>
      <c r="N14" s="152" t="e">
        <f t="shared" si="2"/>
        <v>#DIV/0!</v>
      </c>
      <c r="O14" s="152" t="e">
        <f t="shared" si="2"/>
        <v>#DIV/0!</v>
      </c>
      <c r="P14" s="152" t="e">
        <f t="shared" si="2"/>
        <v>#DIV/0!</v>
      </c>
      <c r="Q14" s="152" t="e">
        <f t="shared" si="2"/>
        <v>#DIV/0!</v>
      </c>
      <c r="R14" s="152" t="e">
        <f t="shared" si="2"/>
        <v>#DIV/0!</v>
      </c>
      <c r="S14" s="152" t="e">
        <f t="shared" si="2"/>
        <v>#DIV/0!</v>
      </c>
      <c r="T14" s="152" t="e">
        <f t="shared" si="2"/>
        <v>#DIV/0!</v>
      </c>
      <c r="U14" s="152" t="e">
        <f>IF(U9&gt;$D$7,0,T14*(1+U10))</f>
        <v>#DIV/0!</v>
      </c>
      <c r="V14" s="152" t="e">
        <f>IF(V9&gt;$D$7,0,U14*(1+V10))</f>
        <v>#DIV/0!</v>
      </c>
      <c r="W14" s="152" t="e">
        <f t="shared" si="2"/>
        <v>#DIV/0!</v>
      </c>
      <c r="X14" s="152" t="e">
        <f t="shared" si="2"/>
        <v>#DIV/0!</v>
      </c>
      <c r="Y14" s="152" t="e">
        <f t="shared" si="2"/>
        <v>#DIV/0!</v>
      </c>
      <c r="Z14" s="152" t="e">
        <f t="shared" si="2"/>
        <v>#DIV/0!</v>
      </c>
      <c r="AA14" s="152" t="e">
        <f t="shared" si="2"/>
        <v>#DIV/0!</v>
      </c>
      <c r="AB14" s="152" t="e">
        <f t="shared" si="2"/>
        <v>#DIV/0!</v>
      </c>
      <c r="AC14" s="152" t="e">
        <f t="shared" si="2"/>
        <v>#DIV/0!</v>
      </c>
      <c r="AD14" s="152" t="e">
        <f t="shared" si="2"/>
        <v>#DIV/0!</v>
      </c>
      <c r="AE14" s="152" t="e">
        <f t="shared" si="2"/>
        <v>#DIV/0!</v>
      </c>
      <c r="AF14" s="152" t="e">
        <f t="shared" si="2"/>
        <v>#DIV/0!</v>
      </c>
      <c r="AG14" s="152" t="e">
        <f t="shared" si="2"/>
        <v>#DIV/0!</v>
      </c>
      <c r="AH14" s="152" t="e">
        <f t="shared" si="2"/>
        <v>#DIV/0!</v>
      </c>
      <c r="AI14" s="152" t="e">
        <f t="shared" si="2"/>
        <v>#DIV/0!</v>
      </c>
      <c r="AJ14" s="152" t="e">
        <f t="shared" si="2"/>
        <v>#DIV/0!</v>
      </c>
      <c r="AK14" s="152" t="e">
        <f t="shared" si="2"/>
        <v>#DIV/0!</v>
      </c>
      <c r="AL14" s="152" t="e">
        <f t="shared" si="2"/>
        <v>#DIV/0!</v>
      </c>
      <c r="AM14" s="152" t="e">
        <f t="shared" si="2"/>
        <v>#DIV/0!</v>
      </c>
      <c r="AN14" s="152" t="e">
        <f t="shared" si="2"/>
        <v>#DIV/0!</v>
      </c>
      <c r="AO14" s="152" t="e">
        <f t="shared" si="2"/>
        <v>#DIV/0!</v>
      </c>
      <c r="AP14" s="152" t="e">
        <f t="shared" si="2"/>
        <v>#DIV/0!</v>
      </c>
      <c r="AQ14" s="152" t="e">
        <f t="shared" si="2"/>
        <v>#DIV/0!</v>
      </c>
      <c r="AR14" s="152" t="e">
        <f t="shared" si="2"/>
        <v>#DIV/0!</v>
      </c>
      <c r="AS14" s="152" t="e">
        <f t="shared" si="2"/>
        <v>#DIV/0!</v>
      </c>
      <c r="AT14" s="152" t="e">
        <f t="shared" si="2"/>
        <v>#DIV/0!</v>
      </c>
      <c r="AU14" s="152" t="e">
        <f t="shared" si="2"/>
        <v>#DIV/0!</v>
      </c>
      <c r="AV14" s="152" t="e">
        <f t="shared" si="2"/>
        <v>#DIV/0!</v>
      </c>
      <c r="AW14" s="152" t="e">
        <f t="shared" si="2"/>
        <v>#DIV/0!</v>
      </c>
      <c r="AX14" s="152" t="e">
        <f t="shared" si="2"/>
        <v>#DIV/0!</v>
      </c>
      <c r="AY14" s="152" t="e">
        <f t="shared" si="2"/>
        <v>#DIV/0!</v>
      </c>
      <c r="AZ14" s="152" t="e">
        <f t="shared" si="2"/>
        <v>#DIV/0!</v>
      </c>
      <c r="BA14" s="124" t="e">
        <f t="shared" si="2"/>
        <v>#DIV/0!</v>
      </c>
    </row>
    <row r="15" spans="2:53" x14ac:dyDescent="0.3">
      <c r="B15" s="118" t="s">
        <v>502</v>
      </c>
      <c r="C15" s="147"/>
      <c r="D15" s="12" t="e">
        <f>IF(D9&lt;=$D$7,IF(AND(D8&gt;2023,D8&lt;2030),'6 Local Law 97 Analysis'!$D$23,IF(AND(D8&gt;2029,D8&lt;2035),'6 Local Law 97 Analysis'!$E$23,IF(AND(D8&gt;2034,D8&lt;2040),'6 Local Law 97 Analysis'!$F$23,IF(AND(D8&gt;2039,D8&lt;2050),'6 Local Law 97 Analysis'!$G$23,0)))),0)</f>
        <v>#DIV/0!</v>
      </c>
      <c r="E15" s="12" t="e">
        <f>IF(E9&lt;=$D$7,IF(AND(E8&gt;2023,E8&lt;2030),'6 Local Law 97 Analysis'!$D$23,IF(AND(E8&gt;2029,E8&lt;2035),'6 Local Law 97 Analysis'!$E$23,IF(AND(E8&gt;2034,E8&lt;2040),'6 Local Law 97 Analysis'!$F$23,IF(AND(E8&gt;2039,E8&lt;2050),'6 Local Law 97 Analysis'!$G$23,0)))),0)</f>
        <v>#DIV/0!</v>
      </c>
      <c r="F15" s="12" t="e">
        <f>IF(F9&lt;=$D$7,IF(AND(F8&gt;2023,F8&lt;2030),'6 Local Law 97 Analysis'!$D$23,IF(AND(F8&gt;2029,F8&lt;2035),'6 Local Law 97 Analysis'!$E$23,IF(AND(F8&gt;2034,F8&lt;2040),'6 Local Law 97 Analysis'!$F$23,IF(AND(F8&gt;2039,F8&lt;2050),'6 Local Law 97 Analysis'!$G$23,0)))),0)</f>
        <v>#DIV/0!</v>
      </c>
      <c r="G15" s="12" t="e">
        <f>IF(G9&lt;=$D$7,IF(AND(G8&gt;2023,G8&lt;2030),'6 Local Law 97 Analysis'!$D$23,IF(AND(G8&gt;2029,G8&lt;2035),'6 Local Law 97 Analysis'!$E$23,IF(AND(G8&gt;2034,G8&lt;2040),'6 Local Law 97 Analysis'!$F$23,IF(AND(G8&gt;2039,G8&lt;2050),'6 Local Law 97 Analysis'!$G$23,0)))),0)</f>
        <v>#DIV/0!</v>
      </c>
      <c r="H15" s="12" t="e">
        <f>IF(H9&lt;=$D$7,IF(AND(H8&gt;2023,H8&lt;2030),'6 Local Law 97 Analysis'!$D$23,IF(AND(H8&gt;2029,H8&lt;2035),'6 Local Law 97 Analysis'!$E$23,IF(AND(H8&gt;2034,H8&lt;2040),'6 Local Law 97 Analysis'!$F$23,IF(AND(H8&gt;2039,H8&lt;2050),'6 Local Law 97 Analysis'!$G$23,0)))),0)</f>
        <v>#DIV/0!</v>
      </c>
      <c r="I15" s="12" t="e">
        <f>IF(I9&lt;=$D$7,IF(AND(I8&gt;2023,I8&lt;2030),'6 Local Law 97 Analysis'!$D$23,IF(AND(I8&gt;2029,I8&lt;2035),'6 Local Law 97 Analysis'!$E$23,IF(AND(I8&gt;2034,I8&lt;2040),'6 Local Law 97 Analysis'!$F$23,IF(AND(I8&gt;2039,I8&lt;2050),'6 Local Law 97 Analysis'!$G$23,0)))),0)</f>
        <v>#DIV/0!</v>
      </c>
      <c r="J15" s="12" t="e">
        <f>IF(J9&lt;=$D$7,IF(AND(J8&gt;2023,J8&lt;2030),'6 Local Law 97 Analysis'!$D$23,IF(AND(J8&gt;2029,J8&lt;2035),'6 Local Law 97 Analysis'!$E$23,IF(AND(J8&gt;2034,J8&lt;2040),'6 Local Law 97 Analysis'!$F$23,IF(AND(J8&gt;2039,J8&lt;2050),'6 Local Law 97 Analysis'!$G$23,0)))),0)</f>
        <v>#DIV/0!</v>
      </c>
      <c r="K15" s="12" t="e">
        <f>IF(K9&lt;=$D$7,IF(AND(K8&gt;2023,K8&lt;2030),'6 Local Law 97 Analysis'!$D$23,IF(AND(K8&gt;2029,K8&lt;2035),'6 Local Law 97 Analysis'!$E$23,IF(AND(K8&gt;2034,K8&lt;2040),'6 Local Law 97 Analysis'!$F$23,IF(AND(K8&gt;2039,K8&lt;2050),'6 Local Law 97 Analysis'!$G$23,0)))),0)</f>
        <v>#DIV/0!</v>
      </c>
      <c r="L15" s="12" t="e">
        <f>IF(L9&lt;=$D$7,IF(AND(L8&gt;2023,L8&lt;2030),'6 Local Law 97 Analysis'!$D$23,IF(AND(L8&gt;2029,L8&lt;2035),'6 Local Law 97 Analysis'!$E$23,IF(AND(L8&gt;2034,L8&lt;2040),'6 Local Law 97 Analysis'!$F$23,IF(AND(L8&gt;2039,L8&lt;2050),'6 Local Law 97 Analysis'!$G$23,0)))),0)</f>
        <v>#DIV/0!</v>
      </c>
      <c r="M15" s="12" t="e">
        <f>IF(M9&lt;=$D$7,IF(AND(M8&gt;2023,M8&lt;2030),'6 Local Law 97 Analysis'!$D$23,IF(AND(M8&gt;2029,M8&lt;2035),'6 Local Law 97 Analysis'!$E$23,IF(AND(M8&gt;2034,M8&lt;2040),'6 Local Law 97 Analysis'!$F$23,IF(AND(M8&gt;2039,M8&lt;2050),'6 Local Law 97 Analysis'!$G$23,0)))),0)</f>
        <v>#DIV/0!</v>
      </c>
      <c r="N15" s="12" t="e">
        <f>IF(N9&lt;=$D$7,IF(AND(N8&gt;2023,N8&lt;2030),'6 Local Law 97 Analysis'!$D$23,IF(AND(N8&gt;2029,N8&lt;2035),'6 Local Law 97 Analysis'!$E$23,IF(AND(N8&gt;2034,N8&lt;2040),'6 Local Law 97 Analysis'!$F$23,IF(AND(N8&gt;2039,N8&lt;2050),'6 Local Law 97 Analysis'!$G$23,0)))),0)</f>
        <v>#DIV/0!</v>
      </c>
      <c r="O15" s="12" t="e">
        <f>IF(O9&lt;=$D$7,IF(AND(O8&gt;2023,O8&lt;2030),'6 Local Law 97 Analysis'!$D$23,IF(AND(O8&gt;2029,O8&lt;2035),'6 Local Law 97 Analysis'!$E$23,IF(AND(O8&gt;2034,O8&lt;2040),'6 Local Law 97 Analysis'!$F$23,IF(AND(O8&gt;2039,O8&lt;2050),'6 Local Law 97 Analysis'!$G$23,0)))),0)</f>
        <v>#DIV/0!</v>
      </c>
      <c r="P15" s="12" t="e">
        <f>IF(P9&lt;=$D$7,IF(AND(P8&gt;2023,P8&lt;2030),'6 Local Law 97 Analysis'!$D$23,IF(AND(P8&gt;2029,P8&lt;2035),'6 Local Law 97 Analysis'!$E$23,IF(AND(P8&gt;2034,P8&lt;2040),'6 Local Law 97 Analysis'!$F$23,IF(AND(P8&gt;2039,P8&lt;2050),'6 Local Law 97 Analysis'!$G$23,0)))),0)</f>
        <v>#DIV/0!</v>
      </c>
      <c r="Q15" s="12" t="e">
        <f>IF(Q9&lt;=$D$7,IF(AND(Q8&gt;2023,Q8&lt;2030),'6 Local Law 97 Analysis'!$D$23,IF(AND(Q8&gt;2029,Q8&lt;2035),'6 Local Law 97 Analysis'!$E$23,IF(AND(Q8&gt;2034,Q8&lt;2040),'6 Local Law 97 Analysis'!$F$23,IF(AND(Q8&gt;2039,Q8&lt;2050),'6 Local Law 97 Analysis'!$G$23,0)))),0)</f>
        <v>#DIV/0!</v>
      </c>
      <c r="R15" s="12" t="e">
        <f>IF(R9&lt;=$D$7,IF(AND(R8&gt;2023,R8&lt;2030),'6 Local Law 97 Analysis'!$D$23,IF(AND(R8&gt;2029,R8&lt;2035),'6 Local Law 97 Analysis'!$E$23,IF(AND(R8&gt;2034,R8&lt;2040),'6 Local Law 97 Analysis'!$F$23,IF(AND(R8&gt;2039,R8&lt;2050),'6 Local Law 97 Analysis'!$G$23,0)))),0)</f>
        <v>#DIV/0!</v>
      </c>
      <c r="S15" s="12" t="e">
        <f>IF(S9&lt;=$D$7,IF(AND(S8&gt;2023,S8&lt;2030),'6 Local Law 97 Analysis'!$D$23,IF(AND(S8&gt;2029,S8&lt;2035),'6 Local Law 97 Analysis'!$E$23,IF(AND(S8&gt;2034,S8&lt;2040),'6 Local Law 97 Analysis'!$F$23,IF(AND(S8&gt;2039,S8&lt;2050),'6 Local Law 97 Analysis'!$G$23,0)))),0)</f>
        <v>#DIV/0!</v>
      </c>
      <c r="T15" s="12" t="e">
        <f>IF(T9&lt;=$D$7,IF(AND(T8&gt;2023,T8&lt;2030),'6 Local Law 97 Analysis'!$D$23,IF(AND(T8&gt;2029,T8&lt;2035),'6 Local Law 97 Analysis'!$E$23,IF(AND(T8&gt;2034,T8&lt;2040),'6 Local Law 97 Analysis'!$F$23,IF(AND(T8&gt;2039,T8&lt;2050),'6 Local Law 97 Analysis'!$G$23,0)))),0)</f>
        <v>#DIV/0!</v>
      </c>
      <c r="U15" s="12" t="e">
        <f>IF(U9&lt;=$D$7,IF(AND(U8&gt;2023,U8&lt;2030),'6 Local Law 97 Analysis'!$D$23,IF(AND(U8&gt;2029,U8&lt;2035),'6 Local Law 97 Analysis'!$E$23,IF(AND(U8&gt;2034,U8&lt;2040),'6 Local Law 97 Analysis'!$F$23,IF(AND(U8&gt;2039,U8&lt;2050),'6 Local Law 97 Analysis'!$G$23,0)))),0)</f>
        <v>#DIV/0!</v>
      </c>
      <c r="V15" s="12" t="e">
        <f>IF(V9&lt;=$D$7,IF(AND(V8&gt;2023,V8&lt;2030),'6 Local Law 97 Analysis'!$D$23,IF(AND(V8&gt;2029,V8&lt;2035),'6 Local Law 97 Analysis'!$E$23,IF(AND(V8&gt;2034,V8&lt;2040),'6 Local Law 97 Analysis'!$F$23,IF(AND(V8&gt;2039,V8&lt;2050),'6 Local Law 97 Analysis'!$G$23,0)))),0)</f>
        <v>#DIV/0!</v>
      </c>
      <c r="W15" s="12" t="e">
        <f>IF(W9&lt;=$D$7,IF(AND(W8&gt;2023,W8&lt;2030),'6 Local Law 97 Analysis'!$D$23,IF(AND(W8&gt;2029,W8&lt;2035),'6 Local Law 97 Analysis'!$E$23,IF(AND(W8&gt;2034,W8&lt;2040),'6 Local Law 97 Analysis'!$F$23,IF(AND(W8&gt;2039,W8&lt;2050),'6 Local Law 97 Analysis'!$G$23,0)))),0)</f>
        <v>#DIV/0!</v>
      </c>
      <c r="X15" s="12" t="e">
        <f>IF(X9&lt;=$D$7,IF(AND(X8&gt;2023,X8&lt;2030),'6 Local Law 97 Analysis'!$D$23,IF(AND(X8&gt;2029,X8&lt;2035),'6 Local Law 97 Analysis'!$E$23,IF(AND(X8&gt;2034,X8&lt;2040),'6 Local Law 97 Analysis'!$F$23,IF(AND(X8&gt;2039,X8&lt;2050),'6 Local Law 97 Analysis'!$G$23,0)))),0)</f>
        <v>#DIV/0!</v>
      </c>
      <c r="Y15" s="12" t="e">
        <f>IF(Y9&lt;=$D$7,IF(AND(Y8&gt;2023,Y8&lt;2030),'6 Local Law 97 Analysis'!$D$23,IF(AND(Y8&gt;2029,Y8&lt;2035),'6 Local Law 97 Analysis'!$E$23,IF(AND(Y8&gt;2034,Y8&lt;2040),'6 Local Law 97 Analysis'!$F$23,IF(AND(Y8&gt;2039,Y8&lt;2050),'6 Local Law 97 Analysis'!$G$23,0)))),0)</f>
        <v>#DIV/0!</v>
      </c>
      <c r="Z15" s="12" t="e">
        <f>IF(Z9&lt;=$D$7,IF(AND(Z8&gt;2023,Z8&lt;2030),'6 Local Law 97 Analysis'!$D$23,IF(AND(Z8&gt;2029,Z8&lt;2035),'6 Local Law 97 Analysis'!$E$23,IF(AND(Z8&gt;2034,Z8&lt;2040),'6 Local Law 97 Analysis'!$F$23,IF(AND(Z8&gt;2039,Z8&lt;2050),'6 Local Law 97 Analysis'!$G$23,0)))),0)</f>
        <v>#DIV/0!</v>
      </c>
      <c r="AA15" s="12" t="e">
        <f>IF(AA9&lt;=$D$7,IF(AND(AA8&gt;2023,AA8&lt;2030),'6 Local Law 97 Analysis'!$D$23,IF(AND(AA8&gt;2029,AA8&lt;2035),'6 Local Law 97 Analysis'!$E$23,IF(AND(AA8&gt;2034,AA8&lt;2040),'6 Local Law 97 Analysis'!$F$23,IF(AND(AA8&gt;2039,AA8&lt;2050),'6 Local Law 97 Analysis'!$G$23,0)))),0)</f>
        <v>#DIV/0!</v>
      </c>
      <c r="AB15" s="12" t="e">
        <f>IF(AB9&lt;=$D$7,IF(AND(AB8&gt;2023,AB8&lt;2030),'6 Local Law 97 Analysis'!$D$23,IF(AND(AB8&gt;2029,AB8&lt;2035),'6 Local Law 97 Analysis'!$E$23,IF(AND(AB8&gt;2034,AB8&lt;2040),'6 Local Law 97 Analysis'!$F$23,IF(AND(AB8&gt;2039,AB8&lt;2050),'6 Local Law 97 Analysis'!$G$23,0)))),0)</f>
        <v>#DIV/0!</v>
      </c>
      <c r="AC15" s="12" t="e">
        <f>IF(AC9&lt;=$D$7,IF(AND(AC8&gt;2023,AC8&lt;2030),'6 Local Law 97 Analysis'!$D$23,IF(AND(AC8&gt;2029,AC8&lt;2035),'6 Local Law 97 Analysis'!$E$23,IF(AND(AC8&gt;2034,AC8&lt;2040),'6 Local Law 97 Analysis'!$F$23,IF(AND(AC8&gt;2039,AC8&lt;2050),'6 Local Law 97 Analysis'!$G$23,0)))),0)</f>
        <v>#DIV/0!</v>
      </c>
      <c r="AD15" s="12" t="e">
        <f>IF(AD9&lt;=$D$7,IF(AND(AD8&gt;2023,AD8&lt;2030),'6 Local Law 97 Analysis'!$D$23,IF(AND(AD8&gt;2029,AD8&lt;2035),'6 Local Law 97 Analysis'!$E$23,IF(AND(AD8&gt;2034,AD8&lt;2040),'6 Local Law 97 Analysis'!$F$23,IF(AND(AD8&gt;2039,AD8&lt;2050),'6 Local Law 97 Analysis'!$G$23,0)))),0)</f>
        <v>#DIV/0!</v>
      </c>
      <c r="AE15" s="12" t="e">
        <f>IF(AE9&lt;=$D$7,IF(AND(AE8&gt;2023,AE8&lt;2030),'6 Local Law 97 Analysis'!$D$23,IF(AND(AE8&gt;2029,AE8&lt;2035),'6 Local Law 97 Analysis'!$E$23,IF(AND(AE8&gt;2034,AE8&lt;2040),'6 Local Law 97 Analysis'!$F$23,IF(AND(AE8&gt;2039,AE8&lt;2050),'6 Local Law 97 Analysis'!$G$23,0)))),0)</f>
        <v>#DIV/0!</v>
      </c>
      <c r="AF15" s="12" t="e">
        <f>IF(AF9&lt;=$D$7,IF(AND(AF8&gt;2023,AF8&lt;2030),'6 Local Law 97 Analysis'!$D$23,IF(AND(AF8&gt;2029,AF8&lt;2035),'6 Local Law 97 Analysis'!$E$23,IF(AND(AF8&gt;2034,AF8&lt;2040),'6 Local Law 97 Analysis'!$F$23,IF(AND(AF8&gt;2039,AF8&lt;2050),'6 Local Law 97 Analysis'!$G$23,0)))),0)</f>
        <v>#DIV/0!</v>
      </c>
      <c r="AG15" s="12" t="e">
        <f>IF(AG9&lt;=$D$7,IF(AND(AG8&gt;2023,AG8&lt;2030),'6 Local Law 97 Analysis'!$D$23,IF(AND(AG8&gt;2029,AG8&lt;2035),'6 Local Law 97 Analysis'!$E$23,IF(AND(AG8&gt;2034,AG8&lt;2040),'6 Local Law 97 Analysis'!$F$23,IF(AND(AG8&gt;2039,AG8&lt;2050),'6 Local Law 97 Analysis'!$G$23,0)))),0)</f>
        <v>#DIV/0!</v>
      </c>
      <c r="AH15" s="12" t="e">
        <f>IF(AH9&lt;=$D$7,IF(AND(AH8&gt;2023,AH8&lt;2030),'6 Local Law 97 Analysis'!$D$23,IF(AND(AH8&gt;2029,AH8&lt;2035),'6 Local Law 97 Analysis'!$E$23,IF(AND(AH8&gt;2034,AH8&lt;2040),'6 Local Law 97 Analysis'!$F$23,IF(AND(AH8&gt;2039,AH8&lt;2050),'6 Local Law 97 Analysis'!$G$23,0)))),0)</f>
        <v>#DIV/0!</v>
      </c>
      <c r="AI15" s="12" t="e">
        <f>IF(AI9&lt;=$D$7,IF(AND(AI8&gt;2023,AI8&lt;2030),'6 Local Law 97 Analysis'!$D$23,IF(AND(AI8&gt;2029,AI8&lt;2035),'6 Local Law 97 Analysis'!$E$23,IF(AND(AI8&gt;2034,AI8&lt;2040),'6 Local Law 97 Analysis'!$F$23,IF(AND(AI8&gt;2039,AI8&lt;2050),'6 Local Law 97 Analysis'!$G$23,0)))),0)</f>
        <v>#DIV/0!</v>
      </c>
      <c r="AJ15" s="12" t="e">
        <f>IF(AJ9&lt;=$D$7,IF(AND(AJ8&gt;2023,AJ8&lt;2030),'6 Local Law 97 Analysis'!$D$23,IF(AND(AJ8&gt;2029,AJ8&lt;2035),'6 Local Law 97 Analysis'!$E$23,IF(AND(AJ8&gt;2034,AJ8&lt;2040),'6 Local Law 97 Analysis'!$F$23,IF(AND(AJ8&gt;2039,AJ8&lt;2050),'6 Local Law 97 Analysis'!$G$23,0)))),0)</f>
        <v>#DIV/0!</v>
      </c>
      <c r="AK15" s="12" t="e">
        <f>IF(AK9&lt;=$D$7,IF(AND(AK8&gt;2023,AK8&lt;2030),'6 Local Law 97 Analysis'!$D$23,IF(AND(AK8&gt;2029,AK8&lt;2035),'6 Local Law 97 Analysis'!$E$23,IF(AND(AK8&gt;2034,AK8&lt;2040),'6 Local Law 97 Analysis'!$F$23,IF(AND(AK8&gt;2039,AK8&lt;2050),'6 Local Law 97 Analysis'!$G$23,0)))),0)</f>
        <v>#DIV/0!</v>
      </c>
      <c r="AL15" s="12" t="e">
        <f>IF(AL9&lt;=$D$7,IF(AND(AL8&gt;2023,AL8&lt;2030),'6 Local Law 97 Analysis'!$D$23,IF(AND(AL8&gt;2029,AL8&lt;2035),'6 Local Law 97 Analysis'!$E$23,IF(AND(AL8&gt;2034,AL8&lt;2040),'6 Local Law 97 Analysis'!$F$23,IF(AND(AL8&gt;2039,AL8&lt;2050),'6 Local Law 97 Analysis'!$G$23,0)))),0)</f>
        <v>#DIV/0!</v>
      </c>
      <c r="AM15" s="12" t="e">
        <f>IF(AM9&lt;=$D$7,IF(AND(AM8&gt;2023,AM8&lt;2030),'6 Local Law 97 Analysis'!$D$23,IF(AND(AM8&gt;2029,AM8&lt;2035),'6 Local Law 97 Analysis'!$E$23,IF(AND(AM8&gt;2034,AM8&lt;2040),'6 Local Law 97 Analysis'!$F$23,IF(AND(AM8&gt;2039,AM8&lt;2050),'6 Local Law 97 Analysis'!$G$23,0)))),0)</f>
        <v>#DIV/0!</v>
      </c>
      <c r="AN15" s="12" t="e">
        <f>IF(AN9&lt;=$D$7,IF(AND(AN8&gt;2023,AN8&lt;2030),'6 Local Law 97 Analysis'!$D$23,IF(AND(AN8&gt;2029,AN8&lt;2035),'6 Local Law 97 Analysis'!$E$23,IF(AND(AN8&gt;2034,AN8&lt;2040),'6 Local Law 97 Analysis'!$F$23,IF(AND(AN8&gt;2039,AN8&lt;2050),'6 Local Law 97 Analysis'!$G$23,0)))),0)</f>
        <v>#DIV/0!</v>
      </c>
      <c r="AO15" s="12" t="e">
        <f>IF(AO9&lt;=$D$7,IF(AND(AO8&gt;2023,AO8&lt;2030),'6 Local Law 97 Analysis'!$D$23,IF(AND(AO8&gt;2029,AO8&lt;2035),'6 Local Law 97 Analysis'!$E$23,IF(AND(AO8&gt;2034,AO8&lt;2040),'6 Local Law 97 Analysis'!$F$23,IF(AND(AO8&gt;2039,AO8&lt;2050),'6 Local Law 97 Analysis'!$G$23,0)))),0)</f>
        <v>#DIV/0!</v>
      </c>
      <c r="AP15" s="12" t="e">
        <f>IF(AP9&lt;=$D$7,IF(AND(AP8&gt;2023,AP8&lt;2030),'6 Local Law 97 Analysis'!$D$23,IF(AND(AP8&gt;2029,AP8&lt;2035),'6 Local Law 97 Analysis'!$E$23,IF(AND(AP8&gt;2034,AP8&lt;2040),'6 Local Law 97 Analysis'!$F$23,IF(AND(AP8&gt;2039,AP8&lt;2050),'6 Local Law 97 Analysis'!$G$23,0)))),0)</f>
        <v>#DIV/0!</v>
      </c>
      <c r="AQ15" s="12" t="e">
        <f>IF(AQ9&lt;=$D$7,IF(AND(AQ8&gt;2023,AQ8&lt;2030),'6 Local Law 97 Analysis'!$D$23,IF(AND(AQ8&gt;2029,AQ8&lt;2035),'6 Local Law 97 Analysis'!$E$23,IF(AND(AQ8&gt;2034,AQ8&lt;2040),'6 Local Law 97 Analysis'!$F$23,IF(AND(AQ8&gt;2039,AQ8&lt;2050),'6 Local Law 97 Analysis'!$G$23,0)))),0)</f>
        <v>#DIV/0!</v>
      </c>
      <c r="AR15" s="12" t="e">
        <f>IF(AR9&lt;=$D$7,IF(AND(AR8&gt;2023,AR8&lt;2030),'6 Local Law 97 Analysis'!$D$23,IF(AND(AR8&gt;2029,AR8&lt;2035),'6 Local Law 97 Analysis'!$E$23,IF(AND(AR8&gt;2034,AR8&lt;2040),'6 Local Law 97 Analysis'!$F$23,IF(AND(AR8&gt;2039,AR8&lt;2050),'6 Local Law 97 Analysis'!$G$23,0)))),0)</f>
        <v>#DIV/0!</v>
      </c>
      <c r="AS15" s="12" t="e">
        <f>IF(AS9&lt;=$D$7,IF(AND(AS8&gt;2023,AS8&lt;2030),'6 Local Law 97 Analysis'!$D$23,IF(AND(AS8&gt;2029,AS8&lt;2035),'6 Local Law 97 Analysis'!$E$23,IF(AND(AS8&gt;2034,AS8&lt;2040),'6 Local Law 97 Analysis'!$F$23,IF(AND(AS8&gt;2039,AS8&lt;2050),'6 Local Law 97 Analysis'!$G$23,0)))),0)</f>
        <v>#DIV/0!</v>
      </c>
      <c r="AT15" s="12" t="e">
        <f>IF(AT9&lt;=$D$7,IF(AND(AT8&gt;2023,AT8&lt;2030),'6 Local Law 97 Analysis'!$D$23,IF(AND(AT8&gt;2029,AT8&lt;2035),'6 Local Law 97 Analysis'!$E$23,IF(AND(AT8&gt;2034,AT8&lt;2040),'6 Local Law 97 Analysis'!$F$23,IF(AND(AT8&gt;2039,AT8&lt;2050),'6 Local Law 97 Analysis'!$G$23,0)))),0)</f>
        <v>#DIV/0!</v>
      </c>
      <c r="AU15" s="12" t="e">
        <f>IF(AU9&lt;=$D$7,IF(AND(AU8&gt;2023,AU8&lt;2030),'6 Local Law 97 Analysis'!$D$23,IF(AND(AU8&gt;2029,AU8&lt;2035),'6 Local Law 97 Analysis'!$E$23,IF(AND(AU8&gt;2034,AU8&lt;2040),'6 Local Law 97 Analysis'!$F$23,IF(AND(AU8&gt;2039,AU8&lt;2050),'6 Local Law 97 Analysis'!$G$23,0)))),0)</f>
        <v>#DIV/0!</v>
      </c>
      <c r="AV15" s="12" t="e">
        <f>IF(AV9&lt;=$D$7,IF(AND(AV8&gt;2023,AV8&lt;2030),'6 Local Law 97 Analysis'!$D$23,IF(AND(AV8&gt;2029,AV8&lt;2035),'6 Local Law 97 Analysis'!$E$23,IF(AND(AV8&gt;2034,AV8&lt;2040),'6 Local Law 97 Analysis'!$F$23,IF(AND(AV8&gt;2039,AV8&lt;2050),'6 Local Law 97 Analysis'!$G$23,0)))),0)</f>
        <v>#DIV/0!</v>
      </c>
      <c r="AW15" s="12" t="e">
        <f>IF(AW9&lt;=$D$7,IF(AND(AW8&gt;2023,AW8&lt;2030),'6 Local Law 97 Analysis'!$D$23,IF(AND(AW8&gt;2029,AW8&lt;2035),'6 Local Law 97 Analysis'!$E$23,IF(AND(AW8&gt;2034,AW8&lt;2040),'6 Local Law 97 Analysis'!$F$23,IF(AND(AW8&gt;2039,AW8&lt;2050),'6 Local Law 97 Analysis'!$G$23,0)))),0)</f>
        <v>#DIV/0!</v>
      </c>
      <c r="AX15" s="12" t="e">
        <f>IF(AX9&lt;=$D$7,IF(AND(AX8&gt;2023,AX8&lt;2030),'6 Local Law 97 Analysis'!$D$23,IF(AND(AX8&gt;2029,AX8&lt;2035),'6 Local Law 97 Analysis'!$E$23,IF(AND(AX8&gt;2034,AX8&lt;2040),'6 Local Law 97 Analysis'!$F$23,IF(AND(AX8&gt;2039,AX8&lt;2050),'6 Local Law 97 Analysis'!$G$23,0)))),0)</f>
        <v>#DIV/0!</v>
      </c>
      <c r="AY15" s="12" t="e">
        <f>IF(AY9&lt;=$D$7,IF(AND(AY8&gt;2023,AY8&lt;2030),'6 Local Law 97 Analysis'!$D$23,IF(AND(AY8&gt;2029,AY8&lt;2035),'6 Local Law 97 Analysis'!$E$23,IF(AND(AY8&gt;2034,AY8&lt;2040),'6 Local Law 97 Analysis'!$F$23,IF(AND(AY8&gt;2039,AY8&lt;2050),'6 Local Law 97 Analysis'!$G$23,0)))),0)</f>
        <v>#DIV/0!</v>
      </c>
      <c r="AZ15" s="12" t="e">
        <f>IF(AZ9&lt;=$D$7,IF(AND(AZ8&gt;2023,AZ8&lt;2030),'6 Local Law 97 Analysis'!$D$23,IF(AND(AZ8&gt;2029,AZ8&lt;2035),'6 Local Law 97 Analysis'!$E$23,IF(AND(AZ8&gt;2034,AZ8&lt;2040),'6 Local Law 97 Analysis'!$F$23,IF(AND(AZ8&gt;2039,AZ8&lt;2050),'6 Local Law 97 Analysis'!$G$23,0)))),0)</f>
        <v>#DIV/0!</v>
      </c>
      <c r="BA15" s="124" t="e">
        <f>IF(BA9&lt;=$D$7,IF(AND(BA8&gt;2023,BA8&lt;2030),'6 Local Law 97 Analysis'!$D$23,IF(AND(BA8&gt;2029,BA8&lt;2035),'6 Local Law 97 Analysis'!$E$23,IF(AND(BA8&gt;2034,BA8&lt;2040),'6 Local Law 97 Analysis'!$F$23,IF(AND(BA8&gt;2039,BA8&lt;2050),'6 Local Law 97 Analysis'!$G$23,0)))),0)</f>
        <v>#DIV/0!</v>
      </c>
    </row>
    <row r="16" spans="2:53" x14ac:dyDescent="0.3">
      <c r="B16" s="118" t="s">
        <v>771</v>
      </c>
      <c r="C16" s="147"/>
      <c r="D16" s="12" t="str">
        <f>IFERROR(IF(D9&lt;=$D$7,INDEX('Social Cost Value Analysis'!$J$8:$J$34,MATCH(D8,'Social Cost Value Analysis'!$B$8:$B$34,0)),"-"),"-")</f>
        <v>-</v>
      </c>
      <c r="E16" s="12" t="str">
        <f>IFERROR(IF(E9&lt;=$D$7,INDEX('Social Cost Value Analysis'!$J$8:$J$34,MATCH(E8,'Social Cost Value Analysis'!$B$8:$B$34,0)),"-"),"-")</f>
        <v>-</v>
      </c>
      <c r="F16" s="12" t="str">
        <f>IFERROR(IF(F9&lt;=$D$7,INDEX('Social Cost Value Analysis'!$J$8:$J$34,MATCH(F8,'Social Cost Value Analysis'!$B$8:$B$34,0)),"-"),"-")</f>
        <v>-</v>
      </c>
      <c r="G16" s="12" t="str">
        <f>IFERROR(IF(G9&lt;=$D$7,INDEX('Social Cost Value Analysis'!$J$8:$J$34,MATCH(G8,'Social Cost Value Analysis'!$B$8:$B$34,0)),"-"),"-")</f>
        <v>-</v>
      </c>
      <c r="H16" s="12" t="str">
        <f>IFERROR(IF(H9&lt;=$D$7,INDEX('Social Cost Value Analysis'!$J$8:$J$34,MATCH(H8,'Social Cost Value Analysis'!$B$8:$B$34,0)),"-"),"-")</f>
        <v>-</v>
      </c>
      <c r="I16" s="12" t="str">
        <f>IFERROR(IF(I9&lt;=$D$7,INDEX('Social Cost Value Analysis'!$J$8:$J$34,MATCH(I8,'Social Cost Value Analysis'!$B$8:$B$34,0)),"-"),"-")</f>
        <v>-</v>
      </c>
      <c r="J16" s="12" t="str">
        <f>IFERROR(IF(J9&lt;=$D$7,INDEX('Social Cost Value Analysis'!$J$8:$J$34,MATCH(J8,'Social Cost Value Analysis'!$B$8:$B$34,0)),"-"),"-")</f>
        <v>-</v>
      </c>
      <c r="K16" s="12" t="str">
        <f>IFERROR(IF(K9&lt;=$D$7,INDEX('Social Cost Value Analysis'!$J$8:$J$34,MATCH(K8,'Social Cost Value Analysis'!$B$8:$B$34,0)),"-"),"-")</f>
        <v>-</v>
      </c>
      <c r="L16" s="12" t="str">
        <f>IFERROR(IF(L9&lt;=$D$7,INDEX('Social Cost Value Analysis'!$J$8:$J$34,MATCH(L8,'Social Cost Value Analysis'!$B$8:$B$34,0)),"-"),"-")</f>
        <v>-</v>
      </c>
      <c r="M16" s="12" t="str">
        <f>IFERROR(IF(M9&lt;=$D$7,INDEX('Social Cost Value Analysis'!$J$8:$J$34,MATCH(M8,'Social Cost Value Analysis'!$B$8:$B$34,0)),"-"),"-")</f>
        <v>-</v>
      </c>
      <c r="N16" s="12" t="str">
        <f>IFERROR(IF(N9&lt;=$D$7,INDEX('Social Cost Value Analysis'!$J$8:$J$34,MATCH(N8,'Social Cost Value Analysis'!$B$8:$B$34,0)),"-"),"-")</f>
        <v>-</v>
      </c>
      <c r="O16" s="12" t="str">
        <f>IFERROR(IF(O9&lt;=$D$7,INDEX('Social Cost Value Analysis'!$J$8:$J$34,MATCH(O8,'Social Cost Value Analysis'!$B$8:$B$34,0)),"-"),"-")</f>
        <v>-</v>
      </c>
      <c r="P16" s="12" t="str">
        <f>IFERROR(IF(P9&lt;=$D$7,INDEX('Social Cost Value Analysis'!$J$8:$J$34,MATCH(P8,'Social Cost Value Analysis'!$B$8:$B$34,0)),"-"),"-")</f>
        <v>-</v>
      </c>
      <c r="Q16" s="12" t="str">
        <f>IFERROR(IF(Q9&lt;=$D$7,INDEX('Social Cost Value Analysis'!$J$8:$J$34,MATCH(Q8,'Social Cost Value Analysis'!$B$8:$B$34,0)),"-"),"-")</f>
        <v>-</v>
      </c>
      <c r="R16" s="12" t="str">
        <f>IFERROR(IF(R9&lt;=$D$7,INDEX('Social Cost Value Analysis'!$J$8:$J$34,MATCH(R8,'Social Cost Value Analysis'!$B$8:$B$34,0)),"-"),"-")</f>
        <v>-</v>
      </c>
      <c r="S16" s="12" t="str">
        <f>IFERROR(IF(S9&lt;=$D$7,INDEX('Social Cost Value Analysis'!$J$8:$J$34,MATCH(S8,'Social Cost Value Analysis'!$B$8:$B$34,0)),"-"),"-")</f>
        <v>-</v>
      </c>
      <c r="T16" s="12" t="str">
        <f>IFERROR(IF(T9&lt;=$D$7,INDEX('Social Cost Value Analysis'!$J$8:$J$34,MATCH(T8,'Social Cost Value Analysis'!$B$8:$B$34,0)),"-"),"-")</f>
        <v>-</v>
      </c>
      <c r="U16" s="12" t="str">
        <f>IFERROR(IF(U9&lt;=$D$7,INDEX('Social Cost Value Analysis'!$J$8:$J$34,MATCH(U8,'Social Cost Value Analysis'!$B$8:$B$34,0)),"-"),"-")</f>
        <v>-</v>
      </c>
      <c r="V16" s="12" t="str">
        <f>IFERROR(IF(V9&lt;=$D$7,INDEX('Social Cost Value Analysis'!$J$8:$J$34,MATCH(V8,'Social Cost Value Analysis'!$B$8:$B$34,0)),"-"),"-")</f>
        <v>-</v>
      </c>
      <c r="W16" s="12" t="str">
        <f>IFERROR(IF(W9&lt;=$D$7,INDEX('Social Cost Value Analysis'!$J$8:$J$34,MATCH(W8,'Social Cost Value Analysis'!$B$8:$B$34,0)),"-"),"-")</f>
        <v>-</v>
      </c>
      <c r="X16" s="12" t="str">
        <f>IFERROR(IF(X9&lt;=$D$7,INDEX('Social Cost Value Analysis'!$J$8:$J$34,MATCH(X8,'Social Cost Value Analysis'!$B$8:$B$34,0)),"-"),"-")</f>
        <v>-</v>
      </c>
      <c r="Y16" s="12" t="str">
        <f>IFERROR(IF(Y9&lt;=$D$7,INDEX('Social Cost Value Analysis'!$J$8:$J$34,MATCH(Y8,'Social Cost Value Analysis'!$B$8:$B$34,0)),"-"),"-")</f>
        <v>-</v>
      </c>
      <c r="Z16" s="12" t="str">
        <f>IFERROR(IF(Z9&lt;=$D$7,INDEX('Social Cost Value Analysis'!$J$8:$J$34,MATCH(Z8,'Social Cost Value Analysis'!$B$8:$B$34,0)),"-"),"-")</f>
        <v>-</v>
      </c>
      <c r="AA16" s="12" t="str">
        <f>IFERROR(IF(AA9&lt;=$D$7,INDEX('Social Cost Value Analysis'!$J$8:$J$34,MATCH(AA8,'Social Cost Value Analysis'!$B$8:$B$34,0)),"-"),"-")</f>
        <v>-</v>
      </c>
      <c r="AB16" s="12" t="str">
        <f>IFERROR(IF(AB9&lt;=$D$7,INDEX('Social Cost Value Analysis'!$J$8:$J$34,MATCH(AB8,'Social Cost Value Analysis'!$B$8:$B$34,0)),"-"),"-")</f>
        <v>-</v>
      </c>
      <c r="AC16" s="12" t="str">
        <f>IFERROR(IF(AC9&lt;=$D$7,INDEX('Social Cost Value Analysis'!$J$8:$J$34,MATCH(AC8,'Social Cost Value Analysis'!$B$8:$B$34,0)),"-"),"-")</f>
        <v>-</v>
      </c>
      <c r="AD16" s="12" t="str">
        <f>IFERROR(IF(AD9&lt;=$D$7,INDEX('Social Cost Value Analysis'!$J$8:$J$34,MATCH(AD8,'Social Cost Value Analysis'!$B$8:$B$34,0)),"-"),"-")</f>
        <v>-</v>
      </c>
      <c r="AE16" s="12" t="str">
        <f>IFERROR(IF(AE9&lt;=$D$7,INDEX('Social Cost Value Analysis'!$J$8:$J$34,MATCH(AE8,'Social Cost Value Analysis'!$B$8:$B$34,0)),"-"),"-")</f>
        <v>-</v>
      </c>
      <c r="AF16" s="12" t="str">
        <f>IFERROR(IF(AF9&lt;=$D$7,INDEX('Social Cost Value Analysis'!$J$8:$J$34,MATCH(AF8,'Social Cost Value Analysis'!$B$8:$B$34,0)),"-"),"-")</f>
        <v>-</v>
      </c>
      <c r="AG16" s="12" t="str">
        <f>IFERROR(IF(AG9&lt;=$D$7,INDEX('Social Cost Value Analysis'!$J$8:$J$34,MATCH(AG8,'Social Cost Value Analysis'!$B$8:$B$34,0)),"-"),"-")</f>
        <v>-</v>
      </c>
      <c r="AH16" s="12" t="str">
        <f>IFERROR(IF(AH9&lt;=$D$7,INDEX('Social Cost Value Analysis'!$J$8:$J$34,MATCH(AH8,'Social Cost Value Analysis'!$B$8:$B$34,0)),"-"),"-")</f>
        <v>-</v>
      </c>
      <c r="AI16" s="12" t="str">
        <f>IFERROR(IF(AI9&lt;=$D$7,INDEX('Social Cost Value Analysis'!$J$8:$J$34,MATCH(AI8,'Social Cost Value Analysis'!$B$8:$B$34,0)),"-"),"-")</f>
        <v>-</v>
      </c>
      <c r="AJ16" s="12" t="str">
        <f>IFERROR(IF(AJ9&lt;=$D$7,INDEX('Social Cost Value Analysis'!$J$8:$J$34,MATCH(AJ8,'Social Cost Value Analysis'!$B$8:$B$34,0)),"-"),"-")</f>
        <v>-</v>
      </c>
      <c r="AK16" s="12" t="str">
        <f>IFERROR(IF(AK9&lt;=$D$7,INDEX('Social Cost Value Analysis'!$J$8:$J$34,MATCH(AK8,'Social Cost Value Analysis'!$B$8:$B$34,0)),"-"),"-")</f>
        <v>-</v>
      </c>
      <c r="AL16" s="12" t="str">
        <f>IFERROR(IF(AL9&lt;=$D$7,INDEX('Social Cost Value Analysis'!$J$8:$J$34,MATCH(AL8,'Social Cost Value Analysis'!$B$8:$B$34,0)),"-"),"-")</f>
        <v>-</v>
      </c>
      <c r="AM16" s="12" t="str">
        <f>IFERROR(IF(AM9&lt;=$D$7,INDEX('Social Cost Value Analysis'!$J$8:$J$34,MATCH(AM8,'Social Cost Value Analysis'!$B$8:$B$34,0)),"-"),"-")</f>
        <v>-</v>
      </c>
      <c r="AN16" s="12" t="str">
        <f>IFERROR(IF(AN9&lt;=$D$7,INDEX('Social Cost Value Analysis'!$J$8:$J$34,MATCH(AN8,'Social Cost Value Analysis'!$B$8:$B$34,0)),"-"),"-")</f>
        <v>-</v>
      </c>
      <c r="AO16" s="12" t="str">
        <f>IFERROR(IF(AO9&lt;=$D$7,INDEX('Social Cost Value Analysis'!$J$8:$J$34,MATCH(AO8,'Social Cost Value Analysis'!$B$8:$B$34,0)),"-"),"-")</f>
        <v>-</v>
      </c>
      <c r="AP16" s="12" t="str">
        <f>IFERROR(IF(AP9&lt;=$D$7,INDEX('Social Cost Value Analysis'!$J$8:$J$34,MATCH(AP8,'Social Cost Value Analysis'!$B$8:$B$34,0)),"-"),"-")</f>
        <v>-</v>
      </c>
      <c r="AQ16" s="12" t="str">
        <f>IFERROR(IF(AQ9&lt;=$D$7,INDEX('Social Cost Value Analysis'!$J$8:$J$34,MATCH(AQ8,'Social Cost Value Analysis'!$B$8:$B$34,0)),"-"),"-")</f>
        <v>-</v>
      </c>
      <c r="AR16" s="12" t="str">
        <f>IFERROR(IF(AR9&lt;=$D$7,INDEX('Social Cost Value Analysis'!$J$8:$J$34,MATCH(AR8,'Social Cost Value Analysis'!$B$8:$B$34,0)),"-"),"-")</f>
        <v>-</v>
      </c>
      <c r="AS16" s="12" t="str">
        <f>IFERROR(IF(AS9&lt;=$D$7,INDEX('Social Cost Value Analysis'!$J$8:$J$34,MATCH(AS8,'Social Cost Value Analysis'!$B$8:$B$34,0)),"-"),"-")</f>
        <v>-</v>
      </c>
      <c r="AT16" s="12" t="str">
        <f>IFERROR(IF(AT9&lt;=$D$7,INDEX('Social Cost Value Analysis'!$J$8:$J$34,MATCH(AT8,'Social Cost Value Analysis'!$B$8:$B$34,0)),"-"),"-")</f>
        <v>-</v>
      </c>
      <c r="AU16" s="12" t="str">
        <f>IFERROR(IF(AU9&lt;=$D$7,INDEX('Social Cost Value Analysis'!$J$8:$J$34,MATCH(AU8,'Social Cost Value Analysis'!$B$8:$B$34,0)),"-"),"-")</f>
        <v>-</v>
      </c>
      <c r="AV16" s="12" t="str">
        <f>IFERROR(IF(AV9&lt;=$D$7,INDEX('Social Cost Value Analysis'!$J$8:$J$34,MATCH(AV8,'Social Cost Value Analysis'!$B$8:$B$34,0)),"-"),"-")</f>
        <v>-</v>
      </c>
      <c r="AW16" s="12" t="str">
        <f>IFERROR(IF(AW9&lt;=$D$7,INDEX('Social Cost Value Analysis'!$J$8:$J$34,MATCH(AW8,'Social Cost Value Analysis'!$B$8:$B$34,0)),"-"),"-")</f>
        <v>-</v>
      </c>
      <c r="AX16" s="12" t="str">
        <f>IFERROR(IF(AX9&lt;=$D$7,INDEX('Social Cost Value Analysis'!$J$8:$J$34,MATCH(AX8,'Social Cost Value Analysis'!$B$8:$B$34,0)),"-"),"-")</f>
        <v>-</v>
      </c>
      <c r="AY16" s="12" t="str">
        <f>IFERROR(IF(AY9&lt;=$D$7,INDEX('Social Cost Value Analysis'!$J$8:$J$34,MATCH(AY8,'Social Cost Value Analysis'!$B$8:$B$34,0)),"-"),"-")</f>
        <v>-</v>
      </c>
      <c r="AZ16" s="12" t="str">
        <f>IFERROR(IF(AZ9&lt;=$D$7,INDEX('Social Cost Value Analysis'!$J$8:$J$34,MATCH(AZ8,'Social Cost Value Analysis'!$B$8:$B$34,0)),"-"),"-")</f>
        <v>-</v>
      </c>
      <c r="BA16" s="124" t="str">
        <f>IFERROR(IF(BA9&lt;=$D$7,INDEX('Social Cost Value Analysis'!$J$8:$J$34,MATCH(BA8,'Social Cost Value Analysis'!$B$8:$B$34,0)),"-"),"-")</f>
        <v>-</v>
      </c>
    </row>
    <row r="17" spans="2:53" s="13" customFormat="1" ht="16.2" x14ac:dyDescent="0.45">
      <c r="B17" s="125" t="s">
        <v>503</v>
      </c>
      <c r="C17" s="153"/>
      <c r="D17" s="154">
        <f>'5 Savings Analysis'!U71</f>
        <v>0</v>
      </c>
      <c r="E17" s="154" t="e">
        <f>IF(E9&gt;$D$7,0,D17*(1+E10))</f>
        <v>#DIV/0!</v>
      </c>
      <c r="F17" s="154" t="e">
        <f t="shared" ref="F17:AJ17" si="3">IF(F9&gt;$D$7,0,E17*(1+F10))</f>
        <v>#DIV/0!</v>
      </c>
      <c r="G17" s="154" t="e">
        <f t="shared" si="3"/>
        <v>#DIV/0!</v>
      </c>
      <c r="H17" s="154" t="e">
        <f t="shared" si="3"/>
        <v>#DIV/0!</v>
      </c>
      <c r="I17" s="154" t="e">
        <f t="shared" si="3"/>
        <v>#DIV/0!</v>
      </c>
      <c r="J17" s="154" t="e">
        <f t="shared" si="3"/>
        <v>#DIV/0!</v>
      </c>
      <c r="K17" s="154" t="e">
        <f t="shared" si="3"/>
        <v>#DIV/0!</v>
      </c>
      <c r="L17" s="154" t="e">
        <f t="shared" si="3"/>
        <v>#DIV/0!</v>
      </c>
      <c r="M17" s="154" t="e">
        <f t="shared" si="3"/>
        <v>#DIV/0!</v>
      </c>
      <c r="N17" s="154" t="e">
        <f t="shared" si="3"/>
        <v>#DIV/0!</v>
      </c>
      <c r="O17" s="154" t="e">
        <f t="shared" si="3"/>
        <v>#DIV/0!</v>
      </c>
      <c r="P17" s="154" t="e">
        <f t="shared" si="3"/>
        <v>#DIV/0!</v>
      </c>
      <c r="Q17" s="154" t="e">
        <f t="shared" si="3"/>
        <v>#DIV/0!</v>
      </c>
      <c r="R17" s="154" t="e">
        <f t="shared" si="3"/>
        <v>#DIV/0!</v>
      </c>
      <c r="S17" s="154" t="e">
        <f t="shared" si="3"/>
        <v>#DIV/0!</v>
      </c>
      <c r="T17" s="154" t="e">
        <f t="shared" si="3"/>
        <v>#DIV/0!</v>
      </c>
      <c r="U17" s="154" t="e">
        <f t="shared" si="3"/>
        <v>#DIV/0!</v>
      </c>
      <c r="V17" s="154" t="e">
        <f t="shared" si="3"/>
        <v>#DIV/0!</v>
      </c>
      <c r="W17" s="154" t="e">
        <f t="shared" si="3"/>
        <v>#DIV/0!</v>
      </c>
      <c r="X17" s="154" t="e">
        <f t="shared" si="3"/>
        <v>#DIV/0!</v>
      </c>
      <c r="Y17" s="154" t="e">
        <f t="shared" si="3"/>
        <v>#DIV/0!</v>
      </c>
      <c r="Z17" s="154" t="e">
        <f t="shared" si="3"/>
        <v>#DIV/0!</v>
      </c>
      <c r="AA17" s="154" t="e">
        <f t="shared" si="3"/>
        <v>#DIV/0!</v>
      </c>
      <c r="AB17" s="154" t="e">
        <f t="shared" si="3"/>
        <v>#DIV/0!</v>
      </c>
      <c r="AC17" s="154" t="e">
        <f t="shared" si="3"/>
        <v>#DIV/0!</v>
      </c>
      <c r="AD17" s="154" t="e">
        <f t="shared" si="3"/>
        <v>#DIV/0!</v>
      </c>
      <c r="AE17" s="154" t="e">
        <f t="shared" si="3"/>
        <v>#DIV/0!</v>
      </c>
      <c r="AF17" s="154" t="e">
        <f t="shared" si="3"/>
        <v>#DIV/0!</v>
      </c>
      <c r="AG17" s="154" t="e">
        <f t="shared" si="3"/>
        <v>#DIV/0!</v>
      </c>
      <c r="AH17" s="154" t="e">
        <f t="shared" si="3"/>
        <v>#DIV/0!</v>
      </c>
      <c r="AI17" s="154" t="e">
        <f t="shared" si="3"/>
        <v>#DIV/0!</v>
      </c>
      <c r="AJ17" s="154" t="e">
        <f t="shared" si="3"/>
        <v>#DIV/0!</v>
      </c>
      <c r="AK17" s="154" t="e">
        <f t="shared" ref="AK17:BA17" si="4">IF(AK9&gt;$D$7,0,AJ17*(1+AK10))</f>
        <v>#DIV/0!</v>
      </c>
      <c r="AL17" s="154" t="e">
        <f t="shared" si="4"/>
        <v>#DIV/0!</v>
      </c>
      <c r="AM17" s="154" t="e">
        <f t="shared" si="4"/>
        <v>#DIV/0!</v>
      </c>
      <c r="AN17" s="154" t="e">
        <f t="shared" si="4"/>
        <v>#DIV/0!</v>
      </c>
      <c r="AO17" s="154" t="e">
        <f t="shared" si="4"/>
        <v>#DIV/0!</v>
      </c>
      <c r="AP17" s="154" t="e">
        <f t="shared" si="4"/>
        <v>#DIV/0!</v>
      </c>
      <c r="AQ17" s="154" t="e">
        <f t="shared" si="4"/>
        <v>#DIV/0!</v>
      </c>
      <c r="AR17" s="154" t="e">
        <f t="shared" si="4"/>
        <v>#DIV/0!</v>
      </c>
      <c r="AS17" s="154" t="e">
        <f t="shared" si="4"/>
        <v>#DIV/0!</v>
      </c>
      <c r="AT17" s="154" t="e">
        <f t="shared" si="4"/>
        <v>#DIV/0!</v>
      </c>
      <c r="AU17" s="154" t="e">
        <f t="shared" si="4"/>
        <v>#DIV/0!</v>
      </c>
      <c r="AV17" s="154" t="e">
        <f t="shared" si="4"/>
        <v>#DIV/0!</v>
      </c>
      <c r="AW17" s="154" t="e">
        <f t="shared" si="4"/>
        <v>#DIV/0!</v>
      </c>
      <c r="AX17" s="154" t="e">
        <f t="shared" si="4"/>
        <v>#DIV/0!</v>
      </c>
      <c r="AY17" s="154" t="e">
        <f t="shared" si="4"/>
        <v>#DIV/0!</v>
      </c>
      <c r="AZ17" s="154" t="e">
        <f t="shared" si="4"/>
        <v>#DIV/0!</v>
      </c>
      <c r="BA17" s="126" t="e">
        <f t="shared" si="4"/>
        <v>#DIV/0!</v>
      </c>
    </row>
    <row r="18" spans="2:53" x14ac:dyDescent="0.3">
      <c r="B18" s="118" t="s">
        <v>504</v>
      </c>
      <c r="C18" s="147"/>
      <c r="D18" s="152" t="e">
        <f>SUM(D14:D17)</f>
        <v>#DIV/0!</v>
      </c>
      <c r="E18" s="152" t="e">
        <f t="shared" ref="E18:AI18" si="5">SUM(E14:E17)</f>
        <v>#DIV/0!</v>
      </c>
      <c r="F18" s="152" t="e">
        <f t="shared" si="5"/>
        <v>#DIV/0!</v>
      </c>
      <c r="G18" s="152" t="e">
        <f t="shared" si="5"/>
        <v>#DIV/0!</v>
      </c>
      <c r="H18" s="152" t="e">
        <f t="shared" si="5"/>
        <v>#DIV/0!</v>
      </c>
      <c r="I18" s="152" t="e">
        <f t="shared" si="5"/>
        <v>#DIV/0!</v>
      </c>
      <c r="J18" s="152" t="e">
        <f t="shared" si="5"/>
        <v>#DIV/0!</v>
      </c>
      <c r="K18" s="152" t="e">
        <f t="shared" si="5"/>
        <v>#DIV/0!</v>
      </c>
      <c r="L18" s="152" t="e">
        <f t="shared" si="5"/>
        <v>#DIV/0!</v>
      </c>
      <c r="M18" s="152" t="e">
        <f t="shared" si="5"/>
        <v>#DIV/0!</v>
      </c>
      <c r="N18" s="152" t="e">
        <f t="shared" si="5"/>
        <v>#DIV/0!</v>
      </c>
      <c r="O18" s="152" t="e">
        <f t="shared" si="5"/>
        <v>#DIV/0!</v>
      </c>
      <c r="P18" s="152" t="e">
        <f t="shared" si="5"/>
        <v>#DIV/0!</v>
      </c>
      <c r="Q18" s="152" t="e">
        <f t="shared" si="5"/>
        <v>#DIV/0!</v>
      </c>
      <c r="R18" s="152" t="e">
        <f t="shared" si="5"/>
        <v>#DIV/0!</v>
      </c>
      <c r="S18" s="152" t="e">
        <f t="shared" si="5"/>
        <v>#DIV/0!</v>
      </c>
      <c r="T18" s="152" t="e">
        <f t="shared" si="5"/>
        <v>#DIV/0!</v>
      </c>
      <c r="U18" s="152" t="e">
        <f t="shared" si="5"/>
        <v>#DIV/0!</v>
      </c>
      <c r="V18" s="152" t="e">
        <f t="shared" si="5"/>
        <v>#DIV/0!</v>
      </c>
      <c r="W18" s="152" t="e">
        <f t="shared" si="5"/>
        <v>#DIV/0!</v>
      </c>
      <c r="X18" s="152" t="e">
        <f t="shared" si="5"/>
        <v>#DIV/0!</v>
      </c>
      <c r="Y18" s="152" t="e">
        <f t="shared" si="5"/>
        <v>#DIV/0!</v>
      </c>
      <c r="Z18" s="152" t="e">
        <f t="shared" si="5"/>
        <v>#DIV/0!</v>
      </c>
      <c r="AA18" s="152" t="e">
        <f t="shared" si="5"/>
        <v>#DIV/0!</v>
      </c>
      <c r="AB18" s="152" t="e">
        <f t="shared" si="5"/>
        <v>#DIV/0!</v>
      </c>
      <c r="AC18" s="152" t="e">
        <f t="shared" si="5"/>
        <v>#DIV/0!</v>
      </c>
      <c r="AD18" s="152" t="e">
        <f t="shared" si="5"/>
        <v>#DIV/0!</v>
      </c>
      <c r="AE18" s="152" t="e">
        <f t="shared" si="5"/>
        <v>#DIV/0!</v>
      </c>
      <c r="AF18" s="152" t="e">
        <f t="shared" si="5"/>
        <v>#DIV/0!</v>
      </c>
      <c r="AG18" s="152" t="e">
        <f t="shared" si="5"/>
        <v>#DIV/0!</v>
      </c>
      <c r="AH18" s="152" t="e">
        <f t="shared" si="5"/>
        <v>#DIV/0!</v>
      </c>
      <c r="AI18" s="152" t="e">
        <f t="shared" si="5"/>
        <v>#DIV/0!</v>
      </c>
      <c r="AJ18" s="152" t="e">
        <f t="shared" ref="AJ18:BA18" si="6">SUM(AJ14:AJ17)</f>
        <v>#DIV/0!</v>
      </c>
      <c r="AK18" s="152" t="e">
        <f t="shared" si="6"/>
        <v>#DIV/0!</v>
      </c>
      <c r="AL18" s="152" t="e">
        <f t="shared" si="6"/>
        <v>#DIV/0!</v>
      </c>
      <c r="AM18" s="152" t="e">
        <f t="shared" si="6"/>
        <v>#DIV/0!</v>
      </c>
      <c r="AN18" s="152" t="e">
        <f t="shared" si="6"/>
        <v>#DIV/0!</v>
      </c>
      <c r="AO18" s="152" t="e">
        <f t="shared" si="6"/>
        <v>#DIV/0!</v>
      </c>
      <c r="AP18" s="152" t="e">
        <f t="shared" si="6"/>
        <v>#DIV/0!</v>
      </c>
      <c r="AQ18" s="152" t="e">
        <f t="shared" si="6"/>
        <v>#DIV/0!</v>
      </c>
      <c r="AR18" s="152" t="e">
        <f t="shared" si="6"/>
        <v>#DIV/0!</v>
      </c>
      <c r="AS18" s="152" t="e">
        <f t="shared" si="6"/>
        <v>#DIV/0!</v>
      </c>
      <c r="AT18" s="152" t="e">
        <f t="shared" si="6"/>
        <v>#DIV/0!</v>
      </c>
      <c r="AU18" s="152" t="e">
        <f t="shared" si="6"/>
        <v>#DIV/0!</v>
      </c>
      <c r="AV18" s="152" t="e">
        <f t="shared" si="6"/>
        <v>#DIV/0!</v>
      </c>
      <c r="AW18" s="152" t="e">
        <f t="shared" si="6"/>
        <v>#DIV/0!</v>
      </c>
      <c r="AX18" s="152" t="e">
        <f t="shared" si="6"/>
        <v>#DIV/0!</v>
      </c>
      <c r="AY18" s="152" t="e">
        <f t="shared" si="6"/>
        <v>#DIV/0!</v>
      </c>
      <c r="AZ18" s="152" t="e">
        <f t="shared" si="6"/>
        <v>#DIV/0!</v>
      </c>
      <c r="BA18" s="124" t="e">
        <f t="shared" si="6"/>
        <v>#DIV/0!</v>
      </c>
    </row>
    <row r="19" spans="2:53" x14ac:dyDescent="0.3">
      <c r="B19" s="118"/>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23"/>
    </row>
    <row r="20" spans="2:53" x14ac:dyDescent="0.3">
      <c r="B20" s="118" t="s">
        <v>505</v>
      </c>
      <c r="C20" s="165">
        <v>0.03</v>
      </c>
      <c r="D20" s="12" t="e">
        <f>NPV(C20,D18:BA18)</f>
        <v>#DIV/0!</v>
      </c>
      <c r="E20" s="156"/>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23"/>
    </row>
    <row r="21" spans="2:53" x14ac:dyDescent="0.3">
      <c r="B21" s="118"/>
      <c r="C21" s="155"/>
      <c r="D21" s="12"/>
      <c r="E21" s="15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23"/>
    </row>
    <row r="22" spans="2:53" x14ac:dyDescent="0.3">
      <c r="B22" s="127" t="str">
        <f>'4 Construction Scope'!B7</f>
        <v>Total C-PACE Costs included in SIR</v>
      </c>
      <c r="C22" s="147"/>
      <c r="D22" s="205">
        <f>'4 Construction Scope'!D7</f>
        <v>0</v>
      </c>
      <c r="E22" s="156"/>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23"/>
    </row>
    <row r="23" spans="2:53" ht="8.4" customHeight="1" x14ac:dyDescent="0.3">
      <c r="B23" s="128"/>
      <c r="C23" s="147"/>
      <c r="D23" s="206"/>
      <c r="E23" s="15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23"/>
    </row>
    <row r="24" spans="2:53" ht="15" customHeight="1" x14ac:dyDescent="0.3">
      <c r="B24" s="128" t="s">
        <v>736</v>
      </c>
      <c r="C24" s="147"/>
      <c r="D24" s="206">
        <f>SUMIF('4 Construction Scope'!D17:D66,"Incremental Cost Approach Measure",'4 Construction Scope'!Z17:Z66)</f>
        <v>0</v>
      </c>
      <c r="E24" s="15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23"/>
    </row>
    <row r="25" spans="2:53" x14ac:dyDescent="0.3">
      <c r="B25" s="128" t="s">
        <v>3</v>
      </c>
      <c r="C25" s="147"/>
      <c r="D25" s="12">
        <f>SUMIF('4 Construction Scope'!$D$17:$D$66,$B25,'4 Construction Scope'!$V$17:$V$66)</f>
        <v>0</v>
      </c>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23"/>
    </row>
    <row r="26" spans="2:53" x14ac:dyDescent="0.3">
      <c r="B26" s="128" t="s">
        <v>4</v>
      </c>
      <c r="C26" s="147"/>
      <c r="D26" s="207">
        <f>SUMIF('4 Construction Scope'!$D$17:$D$66,$B26,'4 Construction Scope'!$V$17:$V$66)</f>
        <v>0</v>
      </c>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23"/>
    </row>
    <row r="27" spans="2:53" x14ac:dyDescent="0.3">
      <c r="B27" s="128" t="s">
        <v>590</v>
      </c>
      <c r="C27" s="147"/>
      <c r="D27" s="12">
        <f>SUMIF('4 Construction Scope'!$D$17:$D$66,$B27,'4 Construction Scope'!$V$17:$V$66)</f>
        <v>0</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23"/>
    </row>
    <row r="28" spans="2:53" x14ac:dyDescent="0.3">
      <c r="B28" s="128" t="s">
        <v>524</v>
      </c>
      <c r="C28" s="147"/>
      <c r="D28" s="12">
        <f>SUMIF('4 Construction Scope'!$D$17:$D$66,$B28,'4 Construction Scope'!$V$17:$V$66)</f>
        <v>0</v>
      </c>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23"/>
    </row>
    <row r="29" spans="2:53" x14ac:dyDescent="0.3">
      <c r="B29" s="128"/>
      <c r="C29" s="147"/>
      <c r="D29" s="152"/>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23"/>
    </row>
    <row r="30" spans="2:53" x14ac:dyDescent="0.3">
      <c r="B30" s="129" t="s">
        <v>506</v>
      </c>
      <c r="C30" s="147"/>
      <c r="D30" s="209" t="e">
        <f>D20/D22</f>
        <v>#DIV/0!</v>
      </c>
      <c r="E30" s="181" t="str">
        <f>IF('4 Construction Scope'!D4="Yes","The SIR requirement is waived because the retrofit is designed so the building is completely electrified according to local code and regulations","")</f>
        <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23"/>
    </row>
    <row r="31" spans="2:53" x14ac:dyDescent="0.3">
      <c r="B31" s="128"/>
      <c r="C31" s="147"/>
      <c r="D31" s="152"/>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23"/>
    </row>
    <row r="32" spans="2:53" x14ac:dyDescent="0.3">
      <c r="B32" s="127" t="str">
        <f>'4 Construction Scope'!B10</f>
        <v>Total Eligible C-PACE Costs</v>
      </c>
      <c r="C32" s="147"/>
      <c r="D32" s="205">
        <f>'4 Construction Scope'!D10</f>
        <v>0</v>
      </c>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23"/>
    </row>
    <row r="33" spans="2:53" ht="6.6" customHeight="1" x14ac:dyDescent="0.3">
      <c r="B33" s="128"/>
      <c r="C33" s="147"/>
      <c r="D33" s="12"/>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23"/>
    </row>
    <row r="34" spans="2:53" ht="13.2" customHeight="1" x14ac:dyDescent="0.3">
      <c r="B34" s="128" t="s">
        <v>731</v>
      </c>
      <c r="C34" s="147"/>
      <c r="D34" s="12">
        <f>SUMIF('4 Construction Scope'!$D$17:$D$66,"Incremental Cost Approach Measure",'4 Construction Scope'!$V$17:$V$66)</f>
        <v>0</v>
      </c>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23"/>
    </row>
    <row r="35" spans="2:53" x14ac:dyDescent="0.3">
      <c r="B35" s="128" t="s">
        <v>607</v>
      </c>
      <c r="C35" s="147"/>
      <c r="D35" s="12">
        <f>SUMIF('4 Construction Scope'!$D$17:$D$66,$B35,'4 Construction Scope'!$V$17:$V$66)</f>
        <v>0</v>
      </c>
      <c r="E35" s="158"/>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23"/>
    </row>
    <row r="36" spans="2:53" x14ac:dyDescent="0.3">
      <c r="B36" s="128" t="s">
        <v>3</v>
      </c>
      <c r="C36" s="147"/>
      <c r="D36" s="12">
        <f>SUMIF('4 Construction Scope'!$D$17:$D$66,$B36,'4 Construction Scope'!$V$17:$V$66)</f>
        <v>0</v>
      </c>
      <c r="E36" s="158"/>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23"/>
    </row>
    <row r="37" spans="2:53" x14ac:dyDescent="0.3">
      <c r="B37" s="128" t="s">
        <v>4</v>
      </c>
      <c r="C37" s="147"/>
      <c r="D37" s="12">
        <f>SUMIF('4 Construction Scope'!$D$17:$D$66,$B37,'4 Construction Scope'!$V$17:$V$66)</f>
        <v>0</v>
      </c>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23"/>
    </row>
    <row r="38" spans="2:53" x14ac:dyDescent="0.3">
      <c r="B38" s="128" t="s">
        <v>589</v>
      </c>
      <c r="C38" s="147"/>
      <c r="D38" s="12">
        <f>SUMIF('4 Construction Scope'!$D$17:$D$66,$B38,'4 Construction Scope'!$V$17:$V$66)</f>
        <v>0</v>
      </c>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23"/>
    </row>
    <row r="39" spans="2:53" x14ac:dyDescent="0.3">
      <c r="B39" s="128" t="s">
        <v>590</v>
      </c>
      <c r="C39" s="147"/>
      <c r="D39" s="12">
        <f>SUMIF('4 Construction Scope'!$D$17:$D$66,$B39,'4 Construction Scope'!$V$17:$V$66)</f>
        <v>0</v>
      </c>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23"/>
    </row>
    <row r="40" spans="2:53" ht="15" thickBot="1" x14ac:dyDescent="0.35">
      <c r="B40" s="130" t="s">
        <v>524</v>
      </c>
      <c r="C40" s="131"/>
      <c r="D40" s="208">
        <f>SUMIF('4 Construction Scope'!$D$17:$D$66,$B40,'4 Construction Scope'!$V$17:$V$66)</f>
        <v>0</v>
      </c>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2"/>
    </row>
    <row r="41" spans="2:53" x14ac:dyDescent="0.3"/>
    <row r="42" spans="2:53" x14ac:dyDescent="0.3"/>
    <row r="43" spans="2:53" x14ac:dyDescent="0.3"/>
    <row r="44" spans="2:53" x14ac:dyDescent="0.3"/>
    <row r="45" spans="2:53" x14ac:dyDescent="0.3"/>
  </sheetData>
  <sheetProtection algorithmName="SHA-512" hashValue="cvS+66YqxD+iZ0Af3ogC5UVxRQe5tEEI06YVJdwSzAkLmdbquniqXI3WGOyn6Xu4dd9qR561b2Dzf2bZv8vAxw==" saltValue="57hUhyzlvRIXacCsbxaTjw==" spinCount="100000" sheet="1" objects="1" scenarios="1"/>
  <conditionalFormatting sqref="D30">
    <cfRule type="cellIs" dxfId="26" priority="2" operator="lessThan">
      <formula>1</formula>
    </cfRule>
    <cfRule type="cellIs" dxfId="25" priority="3" operator="greaterThanOrEqual">
      <formula>1</formula>
    </cfRule>
  </conditionalFormatting>
  <conditionalFormatting sqref="E30:K30">
    <cfRule type="expression" dxfId="24" priority="1">
      <formula>$E$30="The SIR requirement is waived because the retrofit is designed so the building is completely electrified according to local code and regulations"</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41BD4-319C-450A-B2EF-08CD59020522}">
  <sheetPr codeName="Sheet4">
    <tabColor theme="9" tint="0.79998168889431442"/>
  </sheetPr>
  <dimension ref="A2:AJ77"/>
  <sheetViews>
    <sheetView showGridLines="0" zoomScale="70" zoomScaleNormal="70" workbookViewId="0">
      <selection activeCell="D4" sqref="D4:D5"/>
    </sheetView>
  </sheetViews>
  <sheetFormatPr defaultColWidth="0" defaultRowHeight="14.4" x14ac:dyDescent="0.3"/>
  <cols>
    <col min="1" max="1" width="1.5546875" style="267" customWidth="1"/>
    <col min="2" max="2" width="4.6640625" style="267" customWidth="1"/>
    <col min="3" max="3" width="59.6640625" style="267" customWidth="1"/>
    <col min="4" max="4" width="53.109375" style="267" customWidth="1"/>
    <col min="5" max="5" width="51.33203125" style="267" customWidth="1"/>
    <col min="6" max="8" width="33.6640625" style="267" customWidth="1"/>
    <col min="9" max="9" width="50.6640625" style="267" customWidth="1"/>
    <col min="10" max="10" width="55.6640625" style="267" customWidth="1"/>
    <col min="11" max="11" width="20.33203125" style="267" customWidth="1"/>
    <col min="12" max="12" width="29.44140625" style="267" customWidth="1"/>
    <col min="13" max="13" width="50.44140625" style="267" customWidth="1"/>
    <col min="14" max="15" width="20.6640625" style="267" customWidth="1"/>
    <col min="16" max="18" width="20.5546875" style="267" customWidth="1"/>
    <col min="19" max="20" width="15.5546875" style="267" customWidth="1"/>
    <col min="21" max="21" width="18.5546875" style="267" customWidth="1"/>
    <col min="22" max="22" width="17.33203125" style="267" customWidth="1"/>
    <col min="23" max="23" width="15.5546875" style="267" customWidth="1"/>
    <col min="24" max="24" width="6" style="267" customWidth="1"/>
    <col min="25" max="26" width="34.6640625" style="267" customWidth="1"/>
    <col min="27" max="32" width="8.6640625" style="267" customWidth="1"/>
    <col min="33" max="36" width="0" style="267" hidden="1" customWidth="1"/>
    <col min="37" max="16384" width="8.6640625" style="267" hidden="1"/>
  </cols>
  <sheetData>
    <row r="2" spans="2:26" ht="16.2" x14ac:dyDescent="0.3">
      <c r="B2" s="265" t="s">
        <v>715</v>
      </c>
      <c r="C2" s="266"/>
    </row>
    <row r="3" spans="2:26" ht="15" thickBot="1" x14ac:dyDescent="0.35">
      <c r="I3" s="268"/>
      <c r="K3" s="269"/>
      <c r="M3" s="270"/>
    </row>
    <row r="4" spans="2:26" x14ac:dyDescent="0.3">
      <c r="B4" s="271" t="s">
        <v>726</v>
      </c>
      <c r="C4" s="272"/>
      <c r="D4" s="235" t="s">
        <v>709</v>
      </c>
      <c r="I4" s="268"/>
      <c r="K4" s="269"/>
      <c r="M4" s="270"/>
    </row>
    <row r="5" spans="2:26" ht="15" thickBot="1" x14ac:dyDescent="0.35">
      <c r="B5" s="273"/>
      <c r="C5" s="274"/>
      <c r="D5" s="236"/>
      <c r="I5" s="268"/>
      <c r="K5" s="269"/>
      <c r="M5" s="270"/>
    </row>
    <row r="6" spans="2:26" ht="15" thickBot="1" x14ac:dyDescent="0.35">
      <c r="I6" s="268"/>
      <c r="K6" s="269"/>
      <c r="M6" s="270"/>
    </row>
    <row r="7" spans="2:26" x14ac:dyDescent="0.3">
      <c r="B7" s="275" t="s">
        <v>570</v>
      </c>
      <c r="C7" s="276"/>
      <c r="D7" s="277">
        <f>SUMIFS($V$17:$V$66,$D$17:$D$66,"&lt;&gt;Ancillary Measure – Energy-Related Health and Safety",$D$17:$D$66,"&lt;&gt;Prequalified Measure",$D$17:$D$66,"&lt;&gt;Incremental Cost Approach Measure")+SUMIF($D$17:$D$66,"Incremental Cost Approach Measure",$Z$17:$Z$66)</f>
        <v>0</v>
      </c>
      <c r="I7" s="268"/>
      <c r="M7" s="278"/>
    </row>
    <row r="8" spans="2:26" x14ac:dyDescent="0.3">
      <c r="B8" s="279" t="s">
        <v>594</v>
      </c>
      <c r="C8" s="280"/>
      <c r="D8" s="281">
        <f>SUMIF($D$17:$D$66,"Ancillary Measure – Energy-Related Health and Safety",$V$17:$V$66)</f>
        <v>0</v>
      </c>
      <c r="I8" s="268"/>
      <c r="M8" s="282"/>
    </row>
    <row r="9" spans="2:26" x14ac:dyDescent="0.3">
      <c r="B9" s="279" t="s">
        <v>593</v>
      </c>
      <c r="C9" s="280"/>
      <c r="D9" s="281">
        <f>SUMIF($D$17:$D$66,"Ancillary Measure – Required to Implement Energy Improvement",$V$17:$V$66)</f>
        <v>0</v>
      </c>
      <c r="I9" s="268"/>
      <c r="M9" s="282"/>
    </row>
    <row r="10" spans="2:26" x14ac:dyDescent="0.3">
      <c r="B10" s="283" t="s">
        <v>569</v>
      </c>
      <c r="C10" s="284"/>
      <c r="D10" s="281">
        <f>SUM($V$17:$V$66)</f>
        <v>0</v>
      </c>
      <c r="I10" s="268"/>
      <c r="K10" s="285"/>
      <c r="M10" s="282"/>
    </row>
    <row r="11" spans="2:26" x14ac:dyDescent="0.3">
      <c r="B11" s="283" t="s">
        <v>525</v>
      </c>
      <c r="C11" s="284"/>
      <c r="D11" s="286" t="str">
        <f>IFERROR(SUM(D9,D8)/D10,"")</f>
        <v/>
      </c>
      <c r="I11" s="268"/>
      <c r="K11" s="287"/>
      <c r="P11" s="269"/>
    </row>
    <row r="12" spans="2:26" ht="14.7" customHeight="1" x14ac:dyDescent="0.3">
      <c r="B12" s="283" t="s">
        <v>574</v>
      </c>
      <c r="C12" s="284"/>
      <c r="D12" s="288" t="e">
        <f>MROUND((SUMPRODUCT(W17:W66,'5 Savings Analysis'!P19:P68)/'5 Savings Analysis'!$P$69),0.1)</f>
        <v>#DIV/0!</v>
      </c>
      <c r="I12" s="268"/>
      <c r="K12" s="287"/>
      <c r="M12" s="289"/>
      <c r="P12" s="290"/>
    </row>
    <row r="13" spans="2:26" ht="15" thickBot="1" x14ac:dyDescent="0.35">
      <c r="B13" s="291" t="s">
        <v>592</v>
      </c>
      <c r="C13" s="292"/>
      <c r="D13" s="52"/>
      <c r="M13" s="293"/>
      <c r="N13" s="269"/>
      <c r="O13" s="269"/>
      <c r="P13" s="290"/>
      <c r="Y13" s="294" t="s">
        <v>730</v>
      </c>
      <c r="Z13" s="294"/>
    </row>
    <row r="14" spans="2:26" ht="15" customHeight="1" thickBot="1" x14ac:dyDescent="0.35">
      <c r="D14" s="295"/>
      <c r="M14" s="289"/>
      <c r="N14" s="269"/>
      <c r="O14" s="269"/>
      <c r="R14" s="269"/>
      <c r="Y14" s="294"/>
      <c r="Z14" s="294"/>
    </row>
    <row r="15" spans="2:26" s="302" customFormat="1" ht="30.6" x14ac:dyDescent="0.3">
      <c r="B15" s="296" t="s">
        <v>526</v>
      </c>
      <c r="C15" s="297"/>
      <c r="D15" s="298" t="s">
        <v>527</v>
      </c>
      <c r="E15" s="299" t="s">
        <v>608</v>
      </c>
      <c r="F15" s="299" t="s">
        <v>609</v>
      </c>
      <c r="G15" s="299" t="s">
        <v>732</v>
      </c>
      <c r="H15" s="299" t="s">
        <v>733</v>
      </c>
      <c r="I15" s="299" t="s">
        <v>550</v>
      </c>
      <c r="J15" s="299" t="s">
        <v>3</v>
      </c>
      <c r="K15" s="300" t="s">
        <v>551</v>
      </c>
      <c r="L15" s="299" t="s">
        <v>4</v>
      </c>
      <c r="M15" s="300" t="s">
        <v>530</v>
      </c>
      <c r="N15" s="299" t="s">
        <v>577</v>
      </c>
      <c r="O15" s="299" t="s">
        <v>578</v>
      </c>
      <c r="P15" s="299" t="s">
        <v>528</v>
      </c>
      <c r="Q15" s="299" t="s">
        <v>716</v>
      </c>
      <c r="R15" s="299" t="s">
        <v>529</v>
      </c>
      <c r="S15" s="299" t="s">
        <v>487</v>
      </c>
      <c r="T15" s="299" t="s">
        <v>531</v>
      </c>
      <c r="U15" s="299" t="s">
        <v>532</v>
      </c>
      <c r="V15" s="299" t="s">
        <v>533</v>
      </c>
      <c r="W15" s="301" t="s">
        <v>579</v>
      </c>
      <c r="Y15" s="303" t="s">
        <v>727</v>
      </c>
      <c r="Z15" s="304" t="s">
        <v>728</v>
      </c>
    </row>
    <row r="16" spans="2:26" s="314" customFormat="1" ht="69.599999999999994" thickBot="1" x14ac:dyDescent="0.35">
      <c r="B16" s="305" t="s">
        <v>5</v>
      </c>
      <c r="C16" s="306"/>
      <c r="D16" s="307" t="s">
        <v>571</v>
      </c>
      <c r="E16" s="308" t="s">
        <v>7</v>
      </c>
      <c r="F16" s="308" t="s">
        <v>7</v>
      </c>
      <c r="G16" s="309" t="s">
        <v>7</v>
      </c>
      <c r="H16" s="309" t="s">
        <v>7</v>
      </c>
      <c r="I16" s="308" t="s">
        <v>7</v>
      </c>
      <c r="J16" s="308" t="s">
        <v>7</v>
      </c>
      <c r="K16" s="308" t="s">
        <v>495</v>
      </c>
      <c r="L16" s="308" t="s">
        <v>7</v>
      </c>
      <c r="M16" s="310"/>
      <c r="N16" s="311"/>
      <c r="O16" s="312"/>
      <c r="P16" s="308" t="s">
        <v>6</v>
      </c>
      <c r="Q16" s="308" t="s">
        <v>496</v>
      </c>
      <c r="R16" s="308" t="s">
        <v>497</v>
      </c>
      <c r="S16" s="308" t="s">
        <v>717</v>
      </c>
      <c r="T16" s="308" t="s">
        <v>6</v>
      </c>
      <c r="U16" s="308"/>
      <c r="V16" s="308"/>
      <c r="W16" s="313" t="s">
        <v>9</v>
      </c>
      <c r="Y16" s="315" t="s">
        <v>729</v>
      </c>
      <c r="Z16" s="316"/>
    </row>
    <row r="17" spans="2:26" x14ac:dyDescent="0.3">
      <c r="B17" s="317">
        <v>1</v>
      </c>
      <c r="C17" s="175"/>
      <c r="D17" s="58"/>
      <c r="E17" s="19"/>
      <c r="F17" s="19"/>
      <c r="G17" s="19"/>
      <c r="H17" s="19"/>
      <c r="I17" s="59"/>
      <c r="J17" s="59"/>
      <c r="K17" s="59"/>
      <c r="L17" s="59"/>
      <c r="M17" s="59"/>
      <c r="N17" s="60"/>
      <c r="O17" s="60"/>
      <c r="P17" s="59"/>
      <c r="Q17" s="59"/>
      <c r="R17" s="59"/>
      <c r="S17" s="177"/>
      <c r="T17" s="61"/>
      <c r="U17" s="62"/>
      <c r="V17" s="318">
        <f t="shared" ref="V17:V66" si="0">S17*U17</f>
        <v>0</v>
      </c>
      <c r="W17" s="63"/>
      <c r="Y17" s="202"/>
      <c r="Z17" s="334" t="str">
        <f>IF(D17="Incremental Cost Approach Measure",IF(IF(Y17&gt;0,V17-Y17,"")&lt;0,"error - incremental cost must be positive",V17-Y17),"")</f>
        <v/>
      </c>
    </row>
    <row r="18" spans="2:26" x14ac:dyDescent="0.3">
      <c r="B18" s="319">
        <v>2</v>
      </c>
      <c r="C18" s="21"/>
      <c r="D18" s="18"/>
      <c r="E18" s="19"/>
      <c r="F18" s="19"/>
      <c r="G18" s="19"/>
      <c r="H18" s="19"/>
      <c r="I18" s="19"/>
      <c r="J18" s="19"/>
      <c r="K18" s="19"/>
      <c r="L18" s="19"/>
      <c r="M18" s="19"/>
      <c r="N18" s="25"/>
      <c r="O18" s="25"/>
      <c r="P18" s="22"/>
      <c r="Q18" s="22"/>
      <c r="R18" s="22"/>
      <c r="S18" s="178"/>
      <c r="T18" s="20"/>
      <c r="U18" s="33"/>
      <c r="V18" s="318">
        <f t="shared" si="0"/>
        <v>0</v>
      </c>
      <c r="W18" s="31"/>
      <c r="Y18" s="202"/>
      <c r="Z18" s="334" t="str">
        <f t="shared" ref="Z18:Z66" si="1">IF(D18="Incremental Cost Approach Measure",IF(IF(Y18&gt;0,V18-Y18,"")&lt;0,"error - incremental cost must be positive",V18-Y18),"")</f>
        <v/>
      </c>
    </row>
    <row r="19" spans="2:26" x14ac:dyDescent="0.3">
      <c r="B19" s="319">
        <v>3</v>
      </c>
      <c r="C19" s="21"/>
      <c r="D19" s="18"/>
      <c r="E19" s="19"/>
      <c r="F19" s="19"/>
      <c r="G19" s="19"/>
      <c r="H19" s="19"/>
      <c r="I19" s="19"/>
      <c r="J19" s="19"/>
      <c r="K19" s="19"/>
      <c r="L19" s="19"/>
      <c r="M19" s="19"/>
      <c r="N19" s="25"/>
      <c r="O19" s="25"/>
      <c r="P19" s="22"/>
      <c r="Q19" s="22"/>
      <c r="R19" s="22"/>
      <c r="S19" s="178"/>
      <c r="T19" s="20"/>
      <c r="U19" s="33"/>
      <c r="V19" s="318">
        <f t="shared" si="0"/>
        <v>0</v>
      </c>
      <c r="W19" s="31"/>
      <c r="Y19" s="202"/>
      <c r="Z19" s="334" t="str">
        <f t="shared" si="1"/>
        <v/>
      </c>
    </row>
    <row r="20" spans="2:26" x14ac:dyDescent="0.3">
      <c r="B20" s="319">
        <v>4</v>
      </c>
      <c r="C20" s="21"/>
      <c r="D20" s="24"/>
      <c r="E20" s="19"/>
      <c r="F20" s="19"/>
      <c r="G20" s="19"/>
      <c r="H20" s="19"/>
      <c r="I20" s="19"/>
      <c r="J20" s="19"/>
      <c r="K20" s="19"/>
      <c r="L20" s="19"/>
      <c r="M20" s="19"/>
      <c r="N20" s="25"/>
      <c r="O20" s="25"/>
      <c r="P20" s="22"/>
      <c r="Q20" s="22"/>
      <c r="R20" s="22"/>
      <c r="S20" s="178"/>
      <c r="T20" s="20"/>
      <c r="U20" s="33"/>
      <c r="V20" s="318">
        <f t="shared" si="0"/>
        <v>0</v>
      </c>
      <c r="W20" s="31"/>
      <c r="Y20" s="202"/>
      <c r="Z20" s="334" t="str">
        <f t="shared" si="1"/>
        <v/>
      </c>
    </row>
    <row r="21" spans="2:26" x14ac:dyDescent="0.3">
      <c r="B21" s="319">
        <v>5</v>
      </c>
      <c r="C21" s="21"/>
      <c r="D21" s="24"/>
      <c r="E21" s="19"/>
      <c r="F21" s="19"/>
      <c r="G21" s="19"/>
      <c r="H21" s="19"/>
      <c r="I21" s="19"/>
      <c r="J21" s="19"/>
      <c r="K21" s="19"/>
      <c r="L21" s="19"/>
      <c r="M21" s="19"/>
      <c r="N21" s="25"/>
      <c r="O21" s="25"/>
      <c r="P21" s="22"/>
      <c r="Q21" s="22"/>
      <c r="R21" s="22"/>
      <c r="S21" s="178"/>
      <c r="T21" s="20"/>
      <c r="U21" s="33"/>
      <c r="V21" s="318">
        <f t="shared" si="0"/>
        <v>0</v>
      </c>
      <c r="W21" s="31"/>
      <c r="Y21" s="202"/>
      <c r="Z21" s="334" t="str">
        <f t="shared" si="1"/>
        <v/>
      </c>
    </row>
    <row r="22" spans="2:26" x14ac:dyDescent="0.3">
      <c r="B22" s="319">
        <v>6</v>
      </c>
      <c r="C22" s="21"/>
      <c r="D22" s="24"/>
      <c r="E22" s="19"/>
      <c r="F22" s="19"/>
      <c r="G22" s="19"/>
      <c r="H22" s="19"/>
      <c r="I22" s="19"/>
      <c r="J22" s="19"/>
      <c r="K22" s="19"/>
      <c r="L22" s="19"/>
      <c r="M22" s="19"/>
      <c r="N22" s="25"/>
      <c r="O22" s="25"/>
      <c r="P22" s="22"/>
      <c r="Q22" s="22"/>
      <c r="R22" s="22"/>
      <c r="S22" s="178"/>
      <c r="T22" s="20"/>
      <c r="U22" s="33"/>
      <c r="V22" s="318">
        <f>S22*U22</f>
        <v>0</v>
      </c>
      <c r="W22" s="31"/>
      <c r="Y22" s="202"/>
      <c r="Z22" s="334" t="str">
        <f t="shared" si="1"/>
        <v/>
      </c>
    </row>
    <row r="23" spans="2:26" x14ac:dyDescent="0.3">
      <c r="B23" s="319">
        <v>7</v>
      </c>
      <c r="C23" s="21"/>
      <c r="D23" s="24"/>
      <c r="E23" s="19"/>
      <c r="F23" s="19"/>
      <c r="G23" s="19"/>
      <c r="H23" s="19"/>
      <c r="I23" s="19"/>
      <c r="J23" s="19"/>
      <c r="K23" s="19"/>
      <c r="L23" s="19"/>
      <c r="M23" s="19"/>
      <c r="N23" s="25"/>
      <c r="O23" s="25"/>
      <c r="P23" s="22"/>
      <c r="Q23" s="22"/>
      <c r="R23" s="22"/>
      <c r="S23" s="178"/>
      <c r="T23" s="23"/>
      <c r="U23" s="33"/>
      <c r="V23" s="318">
        <f t="shared" si="0"/>
        <v>0</v>
      </c>
      <c r="W23" s="31"/>
      <c r="Y23" s="202"/>
      <c r="Z23" s="334" t="str">
        <f t="shared" si="1"/>
        <v/>
      </c>
    </row>
    <row r="24" spans="2:26" x14ac:dyDescent="0.3">
      <c r="B24" s="319">
        <v>8</v>
      </c>
      <c r="C24" s="21"/>
      <c r="D24" s="24"/>
      <c r="E24" s="19"/>
      <c r="F24" s="19"/>
      <c r="G24" s="19"/>
      <c r="H24" s="19"/>
      <c r="I24" s="19"/>
      <c r="J24" s="19"/>
      <c r="K24" s="19"/>
      <c r="L24" s="19"/>
      <c r="M24" s="19"/>
      <c r="N24" s="25"/>
      <c r="O24" s="25"/>
      <c r="P24" s="22"/>
      <c r="Q24" s="22"/>
      <c r="R24" s="22"/>
      <c r="S24" s="178"/>
      <c r="T24" s="23"/>
      <c r="U24" s="53"/>
      <c r="V24" s="320">
        <f t="shared" si="0"/>
        <v>0</v>
      </c>
      <c r="W24" s="31"/>
      <c r="X24" s="269"/>
      <c r="Y24" s="202"/>
      <c r="Z24" s="334" t="str">
        <f t="shared" si="1"/>
        <v/>
      </c>
    </row>
    <row r="25" spans="2:26" x14ac:dyDescent="0.3">
      <c r="B25" s="319">
        <v>9</v>
      </c>
      <c r="C25" s="21"/>
      <c r="D25" s="24"/>
      <c r="E25" s="19"/>
      <c r="F25" s="19"/>
      <c r="G25" s="19"/>
      <c r="H25" s="19"/>
      <c r="I25" s="19"/>
      <c r="J25" s="19"/>
      <c r="K25" s="19"/>
      <c r="L25" s="19"/>
      <c r="M25" s="22"/>
      <c r="N25" s="25"/>
      <c r="O25" s="25"/>
      <c r="P25" s="25"/>
      <c r="Q25" s="25"/>
      <c r="R25" s="25"/>
      <c r="S25" s="179"/>
      <c r="T25" s="23"/>
      <c r="U25" s="53"/>
      <c r="V25" s="320">
        <f t="shared" si="0"/>
        <v>0</v>
      </c>
      <c r="W25" s="31"/>
      <c r="X25" s="269"/>
      <c r="Y25" s="202"/>
      <c r="Z25" s="334" t="str">
        <f t="shared" si="1"/>
        <v/>
      </c>
    </row>
    <row r="26" spans="2:26" x14ac:dyDescent="0.3">
      <c r="B26" s="319">
        <v>10</v>
      </c>
      <c r="C26" s="21"/>
      <c r="D26" s="24"/>
      <c r="E26" s="19"/>
      <c r="F26" s="19"/>
      <c r="G26" s="19"/>
      <c r="H26" s="19"/>
      <c r="I26" s="19"/>
      <c r="J26" s="19"/>
      <c r="K26" s="19"/>
      <c r="L26" s="19"/>
      <c r="M26" s="22"/>
      <c r="N26" s="25"/>
      <c r="O26" s="25"/>
      <c r="P26" s="25"/>
      <c r="Q26" s="25"/>
      <c r="R26" s="25"/>
      <c r="S26" s="179"/>
      <c r="T26" s="23"/>
      <c r="U26" s="53"/>
      <c r="V26" s="320">
        <f t="shared" si="0"/>
        <v>0</v>
      </c>
      <c r="W26" s="31"/>
      <c r="Y26" s="202"/>
      <c r="Z26" s="334" t="str">
        <f t="shared" si="1"/>
        <v/>
      </c>
    </row>
    <row r="27" spans="2:26" x14ac:dyDescent="0.3">
      <c r="B27" s="319">
        <v>11</v>
      </c>
      <c r="C27" s="21"/>
      <c r="D27" s="24"/>
      <c r="E27" s="19"/>
      <c r="F27" s="19"/>
      <c r="G27" s="19"/>
      <c r="H27" s="19"/>
      <c r="I27" s="19"/>
      <c r="J27" s="19"/>
      <c r="K27" s="19"/>
      <c r="L27" s="19"/>
      <c r="M27" s="22"/>
      <c r="N27" s="25"/>
      <c r="O27" s="25"/>
      <c r="P27" s="25"/>
      <c r="Q27" s="25"/>
      <c r="R27" s="25"/>
      <c r="S27" s="179"/>
      <c r="T27" s="23"/>
      <c r="U27" s="53"/>
      <c r="V27" s="320">
        <f t="shared" si="0"/>
        <v>0</v>
      </c>
      <c r="W27" s="31"/>
      <c r="Y27" s="202"/>
      <c r="Z27" s="334" t="str">
        <f t="shared" si="1"/>
        <v/>
      </c>
    </row>
    <row r="28" spans="2:26" x14ac:dyDescent="0.3">
      <c r="B28" s="319">
        <v>12</v>
      </c>
      <c r="C28" s="21"/>
      <c r="D28" s="24"/>
      <c r="E28" s="19"/>
      <c r="F28" s="19"/>
      <c r="G28" s="19"/>
      <c r="H28" s="19"/>
      <c r="I28" s="19"/>
      <c r="J28" s="19"/>
      <c r="K28" s="19"/>
      <c r="L28" s="19"/>
      <c r="M28" s="22"/>
      <c r="N28" s="25"/>
      <c r="O28" s="25"/>
      <c r="P28" s="25"/>
      <c r="Q28" s="25"/>
      <c r="R28" s="25"/>
      <c r="S28" s="179"/>
      <c r="T28" s="23"/>
      <c r="U28" s="53"/>
      <c r="V28" s="320">
        <f t="shared" si="0"/>
        <v>0</v>
      </c>
      <c r="W28" s="31"/>
      <c r="Y28" s="202"/>
      <c r="Z28" s="334" t="str">
        <f t="shared" si="1"/>
        <v/>
      </c>
    </row>
    <row r="29" spans="2:26" x14ac:dyDescent="0.3">
      <c r="B29" s="319">
        <v>13</v>
      </c>
      <c r="C29" s="21"/>
      <c r="D29" s="24"/>
      <c r="E29" s="19"/>
      <c r="F29" s="19"/>
      <c r="G29" s="19"/>
      <c r="H29" s="19"/>
      <c r="I29" s="19"/>
      <c r="J29" s="19"/>
      <c r="K29" s="19"/>
      <c r="L29" s="19"/>
      <c r="M29" s="22"/>
      <c r="N29" s="25"/>
      <c r="O29" s="25"/>
      <c r="P29" s="25"/>
      <c r="Q29" s="25"/>
      <c r="R29" s="25"/>
      <c r="S29" s="179"/>
      <c r="T29" s="23"/>
      <c r="U29" s="53"/>
      <c r="V29" s="320">
        <f t="shared" si="0"/>
        <v>0</v>
      </c>
      <c r="W29" s="31"/>
      <c r="Y29" s="202"/>
      <c r="Z29" s="334" t="str">
        <f t="shared" si="1"/>
        <v/>
      </c>
    </row>
    <row r="30" spans="2:26" x14ac:dyDescent="0.3">
      <c r="B30" s="319">
        <v>14</v>
      </c>
      <c r="C30" s="21"/>
      <c r="D30" s="24"/>
      <c r="E30" s="19"/>
      <c r="F30" s="19"/>
      <c r="G30" s="19"/>
      <c r="H30" s="19"/>
      <c r="I30" s="19"/>
      <c r="J30" s="19"/>
      <c r="K30" s="19"/>
      <c r="L30" s="19"/>
      <c r="M30" s="22"/>
      <c r="N30" s="25"/>
      <c r="O30" s="25"/>
      <c r="P30" s="25"/>
      <c r="Q30" s="25"/>
      <c r="R30" s="25"/>
      <c r="S30" s="179"/>
      <c r="T30" s="26"/>
      <c r="U30" s="33"/>
      <c r="V30" s="318">
        <f t="shared" si="0"/>
        <v>0</v>
      </c>
      <c r="W30" s="31"/>
      <c r="Y30" s="202"/>
      <c r="Z30" s="334" t="str">
        <f t="shared" si="1"/>
        <v/>
      </c>
    </row>
    <row r="31" spans="2:26" x14ac:dyDescent="0.3">
      <c r="B31" s="319">
        <v>15</v>
      </c>
      <c r="C31" s="21"/>
      <c r="D31" s="24"/>
      <c r="E31" s="19"/>
      <c r="F31" s="19"/>
      <c r="G31" s="19"/>
      <c r="H31" s="19"/>
      <c r="I31" s="19"/>
      <c r="J31" s="19"/>
      <c r="K31" s="19"/>
      <c r="L31" s="19"/>
      <c r="M31" s="22"/>
      <c r="N31" s="25"/>
      <c r="O31" s="25"/>
      <c r="P31" s="25"/>
      <c r="Q31" s="25"/>
      <c r="R31" s="25"/>
      <c r="S31" s="179"/>
      <c r="T31" s="26"/>
      <c r="U31" s="33"/>
      <c r="V31" s="318">
        <f t="shared" si="0"/>
        <v>0</v>
      </c>
      <c r="W31" s="31"/>
      <c r="Y31" s="202"/>
      <c r="Z31" s="334" t="str">
        <f t="shared" si="1"/>
        <v/>
      </c>
    </row>
    <row r="32" spans="2:26" x14ac:dyDescent="0.3">
      <c r="B32" s="319">
        <v>16</v>
      </c>
      <c r="C32" s="21"/>
      <c r="D32" s="24"/>
      <c r="E32" s="19"/>
      <c r="F32" s="19"/>
      <c r="G32" s="19"/>
      <c r="H32" s="19"/>
      <c r="I32" s="19"/>
      <c r="J32" s="19"/>
      <c r="K32" s="19"/>
      <c r="L32" s="19"/>
      <c r="M32" s="22"/>
      <c r="N32" s="25"/>
      <c r="O32" s="25"/>
      <c r="P32" s="25"/>
      <c r="Q32" s="25"/>
      <c r="R32" s="25"/>
      <c r="S32" s="179"/>
      <c r="T32" s="26"/>
      <c r="U32" s="33"/>
      <c r="V32" s="318">
        <f t="shared" si="0"/>
        <v>0</v>
      </c>
      <c r="W32" s="31"/>
      <c r="Y32" s="202"/>
      <c r="Z32" s="334" t="str">
        <f t="shared" si="1"/>
        <v/>
      </c>
    </row>
    <row r="33" spans="2:26" x14ac:dyDescent="0.3">
      <c r="B33" s="319">
        <v>17</v>
      </c>
      <c r="C33" s="21"/>
      <c r="D33" s="24"/>
      <c r="E33" s="19"/>
      <c r="F33" s="19"/>
      <c r="G33" s="19"/>
      <c r="H33" s="19"/>
      <c r="I33" s="19"/>
      <c r="J33" s="19"/>
      <c r="K33" s="19"/>
      <c r="L33" s="19"/>
      <c r="M33" s="22"/>
      <c r="N33" s="25"/>
      <c r="O33" s="25"/>
      <c r="P33" s="25"/>
      <c r="Q33" s="25"/>
      <c r="R33" s="25"/>
      <c r="S33" s="179"/>
      <c r="T33" s="26"/>
      <c r="U33" s="33"/>
      <c r="V33" s="318">
        <f t="shared" si="0"/>
        <v>0</v>
      </c>
      <c r="W33" s="31"/>
      <c r="Y33" s="202"/>
      <c r="Z33" s="334" t="str">
        <f t="shared" si="1"/>
        <v/>
      </c>
    </row>
    <row r="34" spans="2:26" x14ac:dyDescent="0.3">
      <c r="B34" s="319">
        <v>18</v>
      </c>
      <c r="C34" s="21"/>
      <c r="D34" s="24"/>
      <c r="E34" s="19"/>
      <c r="F34" s="19"/>
      <c r="G34" s="19"/>
      <c r="H34" s="19"/>
      <c r="I34" s="19"/>
      <c r="J34" s="19"/>
      <c r="K34" s="19"/>
      <c r="L34" s="19"/>
      <c r="M34" s="22"/>
      <c r="N34" s="25"/>
      <c r="O34" s="25"/>
      <c r="P34" s="25"/>
      <c r="Q34" s="25"/>
      <c r="R34" s="25"/>
      <c r="S34" s="179"/>
      <c r="T34" s="26"/>
      <c r="U34" s="33"/>
      <c r="V34" s="318">
        <f t="shared" si="0"/>
        <v>0</v>
      </c>
      <c r="W34" s="31"/>
      <c r="Y34" s="202"/>
      <c r="Z34" s="334" t="str">
        <f t="shared" si="1"/>
        <v/>
      </c>
    </row>
    <row r="35" spans="2:26" x14ac:dyDescent="0.3">
      <c r="B35" s="319">
        <v>19</v>
      </c>
      <c r="C35" s="21"/>
      <c r="D35" s="24"/>
      <c r="E35" s="19"/>
      <c r="F35" s="19"/>
      <c r="G35" s="19"/>
      <c r="H35" s="19"/>
      <c r="I35" s="19"/>
      <c r="J35" s="19"/>
      <c r="K35" s="19"/>
      <c r="L35" s="19"/>
      <c r="M35" s="22"/>
      <c r="N35" s="25"/>
      <c r="O35" s="25"/>
      <c r="P35" s="25"/>
      <c r="Q35" s="25"/>
      <c r="R35" s="25"/>
      <c r="S35" s="179"/>
      <c r="T35" s="26"/>
      <c r="U35" s="33"/>
      <c r="V35" s="318">
        <f t="shared" si="0"/>
        <v>0</v>
      </c>
      <c r="W35" s="32"/>
      <c r="Y35" s="202"/>
      <c r="Z35" s="334" t="str">
        <f t="shared" si="1"/>
        <v/>
      </c>
    </row>
    <row r="36" spans="2:26" x14ac:dyDescent="0.3">
      <c r="B36" s="321">
        <v>20</v>
      </c>
      <c r="C36" s="21"/>
      <c r="D36" s="24"/>
      <c r="E36" s="19"/>
      <c r="F36" s="19"/>
      <c r="G36" s="19"/>
      <c r="H36" s="19"/>
      <c r="I36" s="19"/>
      <c r="J36" s="19"/>
      <c r="K36" s="19"/>
      <c r="L36" s="19"/>
      <c r="M36" s="22"/>
      <c r="N36" s="25"/>
      <c r="O36" s="25"/>
      <c r="P36" s="25"/>
      <c r="Q36" s="25"/>
      <c r="R36" s="25"/>
      <c r="S36" s="179"/>
      <c r="T36" s="26"/>
      <c r="U36" s="33"/>
      <c r="V36" s="318">
        <f t="shared" si="0"/>
        <v>0</v>
      </c>
      <c r="W36" s="32"/>
      <c r="Y36" s="202"/>
      <c r="Z36" s="334" t="str">
        <f t="shared" si="1"/>
        <v/>
      </c>
    </row>
    <row r="37" spans="2:26" x14ac:dyDescent="0.3">
      <c r="B37" s="319">
        <v>21</v>
      </c>
      <c r="C37" s="21"/>
      <c r="D37" s="24"/>
      <c r="E37" s="19"/>
      <c r="F37" s="19"/>
      <c r="G37" s="19"/>
      <c r="H37" s="19"/>
      <c r="I37" s="19"/>
      <c r="J37" s="19"/>
      <c r="K37" s="19"/>
      <c r="L37" s="19"/>
      <c r="M37" s="22"/>
      <c r="N37" s="25"/>
      <c r="O37" s="25"/>
      <c r="P37" s="25"/>
      <c r="Q37" s="25"/>
      <c r="R37" s="25"/>
      <c r="S37" s="179"/>
      <c r="T37" s="26"/>
      <c r="U37" s="33"/>
      <c r="V37" s="318">
        <f t="shared" si="0"/>
        <v>0</v>
      </c>
      <c r="W37" s="32"/>
      <c r="Y37" s="202"/>
      <c r="Z37" s="334" t="str">
        <f t="shared" si="1"/>
        <v/>
      </c>
    </row>
    <row r="38" spans="2:26" x14ac:dyDescent="0.3">
      <c r="B38" s="319">
        <v>22</v>
      </c>
      <c r="C38" s="21"/>
      <c r="D38" s="24"/>
      <c r="E38" s="19"/>
      <c r="F38" s="19"/>
      <c r="G38" s="19"/>
      <c r="H38" s="19"/>
      <c r="I38" s="19"/>
      <c r="J38" s="19"/>
      <c r="K38" s="19"/>
      <c r="L38" s="19"/>
      <c r="M38" s="22"/>
      <c r="N38" s="25"/>
      <c r="O38" s="25"/>
      <c r="P38" s="25"/>
      <c r="Q38" s="25"/>
      <c r="R38" s="25"/>
      <c r="S38" s="179"/>
      <c r="T38" s="26"/>
      <c r="U38" s="33"/>
      <c r="V38" s="318">
        <f t="shared" si="0"/>
        <v>0</v>
      </c>
      <c r="W38" s="32"/>
      <c r="Y38" s="202"/>
      <c r="Z38" s="334" t="str">
        <f t="shared" si="1"/>
        <v/>
      </c>
    </row>
    <row r="39" spans="2:26" x14ac:dyDescent="0.3">
      <c r="B39" s="319">
        <v>23</v>
      </c>
      <c r="C39" s="21"/>
      <c r="D39" s="24"/>
      <c r="E39" s="19"/>
      <c r="F39" s="19"/>
      <c r="G39" s="19"/>
      <c r="H39" s="19"/>
      <c r="I39" s="19"/>
      <c r="J39" s="19"/>
      <c r="K39" s="19"/>
      <c r="L39" s="19"/>
      <c r="M39" s="22"/>
      <c r="N39" s="25"/>
      <c r="O39" s="25"/>
      <c r="P39" s="25"/>
      <c r="Q39" s="25"/>
      <c r="R39" s="25"/>
      <c r="S39" s="179"/>
      <c r="T39" s="26"/>
      <c r="U39" s="33"/>
      <c r="V39" s="318">
        <f t="shared" si="0"/>
        <v>0</v>
      </c>
      <c r="W39" s="32"/>
      <c r="Y39" s="202"/>
      <c r="Z39" s="334" t="str">
        <f t="shared" si="1"/>
        <v/>
      </c>
    </row>
    <row r="40" spans="2:26" x14ac:dyDescent="0.3">
      <c r="B40" s="319">
        <v>24</v>
      </c>
      <c r="C40" s="21"/>
      <c r="D40" s="24"/>
      <c r="E40" s="19"/>
      <c r="F40" s="19"/>
      <c r="G40" s="19"/>
      <c r="H40" s="19"/>
      <c r="I40" s="19"/>
      <c r="J40" s="19"/>
      <c r="K40" s="19"/>
      <c r="L40" s="19"/>
      <c r="M40" s="22"/>
      <c r="N40" s="25"/>
      <c r="O40" s="25"/>
      <c r="P40" s="25"/>
      <c r="Q40" s="25"/>
      <c r="R40" s="25"/>
      <c r="S40" s="179"/>
      <c r="T40" s="26"/>
      <c r="U40" s="33"/>
      <c r="V40" s="318">
        <f t="shared" si="0"/>
        <v>0</v>
      </c>
      <c r="W40" s="32"/>
      <c r="Y40" s="202"/>
      <c r="Z40" s="334" t="str">
        <f t="shared" si="1"/>
        <v/>
      </c>
    </row>
    <row r="41" spans="2:26" x14ac:dyDescent="0.3">
      <c r="B41" s="319">
        <v>25</v>
      </c>
      <c r="C41" s="21"/>
      <c r="D41" s="24"/>
      <c r="E41" s="19"/>
      <c r="F41" s="19"/>
      <c r="G41" s="19"/>
      <c r="H41" s="19"/>
      <c r="I41" s="19"/>
      <c r="J41" s="19"/>
      <c r="K41" s="19"/>
      <c r="L41" s="19"/>
      <c r="M41" s="22"/>
      <c r="N41" s="25"/>
      <c r="O41" s="25"/>
      <c r="P41" s="25"/>
      <c r="Q41" s="25"/>
      <c r="R41" s="25"/>
      <c r="S41" s="179"/>
      <c r="T41" s="26"/>
      <c r="U41" s="33"/>
      <c r="V41" s="318">
        <f t="shared" si="0"/>
        <v>0</v>
      </c>
      <c r="W41" s="32"/>
      <c r="Y41" s="202"/>
      <c r="Z41" s="334" t="str">
        <f t="shared" si="1"/>
        <v/>
      </c>
    </row>
    <row r="42" spans="2:26" x14ac:dyDescent="0.3">
      <c r="B42" s="319">
        <v>26</v>
      </c>
      <c r="C42" s="21"/>
      <c r="D42" s="24"/>
      <c r="E42" s="19"/>
      <c r="F42" s="19"/>
      <c r="G42" s="19"/>
      <c r="H42" s="19"/>
      <c r="I42" s="19"/>
      <c r="J42" s="19"/>
      <c r="K42" s="19"/>
      <c r="L42" s="19"/>
      <c r="M42" s="22"/>
      <c r="N42" s="25"/>
      <c r="O42" s="25"/>
      <c r="P42" s="25"/>
      <c r="Q42" s="25"/>
      <c r="R42" s="25"/>
      <c r="S42" s="179"/>
      <c r="T42" s="26"/>
      <c r="U42" s="33"/>
      <c r="V42" s="318">
        <f t="shared" si="0"/>
        <v>0</v>
      </c>
      <c r="W42" s="32"/>
      <c r="Y42" s="202"/>
      <c r="Z42" s="334" t="str">
        <f t="shared" si="1"/>
        <v/>
      </c>
    </row>
    <row r="43" spans="2:26" x14ac:dyDescent="0.3">
      <c r="B43" s="319">
        <v>27</v>
      </c>
      <c r="C43" s="21"/>
      <c r="D43" s="24"/>
      <c r="E43" s="19"/>
      <c r="F43" s="19"/>
      <c r="G43" s="19"/>
      <c r="H43" s="19"/>
      <c r="I43" s="19"/>
      <c r="J43" s="19"/>
      <c r="K43" s="19"/>
      <c r="L43" s="19"/>
      <c r="M43" s="22"/>
      <c r="N43" s="25"/>
      <c r="O43" s="25"/>
      <c r="P43" s="25"/>
      <c r="Q43" s="25"/>
      <c r="R43" s="25"/>
      <c r="S43" s="179"/>
      <c r="T43" s="26"/>
      <c r="U43" s="33"/>
      <c r="V43" s="318">
        <f t="shared" si="0"/>
        <v>0</v>
      </c>
      <c r="W43" s="32"/>
      <c r="Y43" s="202"/>
      <c r="Z43" s="334" t="str">
        <f t="shared" si="1"/>
        <v/>
      </c>
    </row>
    <row r="44" spans="2:26" x14ac:dyDescent="0.3">
      <c r="B44" s="319">
        <v>28</v>
      </c>
      <c r="C44" s="21"/>
      <c r="D44" s="24"/>
      <c r="E44" s="19"/>
      <c r="F44" s="19"/>
      <c r="G44" s="19"/>
      <c r="H44" s="19"/>
      <c r="I44" s="19"/>
      <c r="J44" s="19"/>
      <c r="K44" s="19"/>
      <c r="L44" s="19"/>
      <c r="M44" s="22"/>
      <c r="N44" s="25"/>
      <c r="O44" s="25"/>
      <c r="P44" s="25"/>
      <c r="Q44" s="25"/>
      <c r="R44" s="25"/>
      <c r="S44" s="179"/>
      <c r="T44" s="26"/>
      <c r="U44" s="33"/>
      <c r="V44" s="318">
        <f t="shared" si="0"/>
        <v>0</v>
      </c>
      <c r="W44" s="32"/>
      <c r="Y44" s="202"/>
      <c r="Z44" s="334" t="str">
        <f t="shared" si="1"/>
        <v/>
      </c>
    </row>
    <row r="45" spans="2:26" x14ac:dyDescent="0.3">
      <c r="B45" s="319">
        <v>29</v>
      </c>
      <c r="C45" s="21"/>
      <c r="D45" s="24"/>
      <c r="E45" s="19"/>
      <c r="F45" s="19"/>
      <c r="G45" s="19"/>
      <c r="H45" s="19"/>
      <c r="I45" s="19"/>
      <c r="J45" s="19"/>
      <c r="K45" s="19"/>
      <c r="L45" s="19"/>
      <c r="M45" s="22"/>
      <c r="N45" s="25"/>
      <c r="O45" s="25"/>
      <c r="P45" s="25"/>
      <c r="Q45" s="25"/>
      <c r="R45" s="25"/>
      <c r="S45" s="179"/>
      <c r="T45" s="26"/>
      <c r="U45" s="33"/>
      <c r="V45" s="318">
        <f t="shared" si="0"/>
        <v>0</v>
      </c>
      <c r="W45" s="32"/>
      <c r="Y45" s="202"/>
      <c r="Z45" s="334" t="str">
        <f t="shared" si="1"/>
        <v/>
      </c>
    </row>
    <row r="46" spans="2:26" x14ac:dyDescent="0.3">
      <c r="B46" s="319">
        <v>30</v>
      </c>
      <c r="C46" s="21"/>
      <c r="D46" s="24"/>
      <c r="E46" s="19"/>
      <c r="F46" s="19"/>
      <c r="G46" s="19"/>
      <c r="H46" s="19"/>
      <c r="I46" s="19"/>
      <c r="J46" s="19"/>
      <c r="K46" s="19"/>
      <c r="L46" s="19"/>
      <c r="M46" s="22"/>
      <c r="N46" s="25"/>
      <c r="O46" s="25"/>
      <c r="P46" s="25"/>
      <c r="Q46" s="25"/>
      <c r="R46" s="25"/>
      <c r="S46" s="179"/>
      <c r="T46" s="26"/>
      <c r="U46" s="33"/>
      <c r="V46" s="318">
        <f t="shared" si="0"/>
        <v>0</v>
      </c>
      <c r="W46" s="32"/>
      <c r="Y46" s="202"/>
      <c r="Z46" s="334" t="str">
        <f t="shared" si="1"/>
        <v/>
      </c>
    </row>
    <row r="47" spans="2:26" x14ac:dyDescent="0.3">
      <c r="B47" s="319">
        <v>31</v>
      </c>
      <c r="C47" s="21"/>
      <c r="D47" s="24"/>
      <c r="E47" s="19"/>
      <c r="F47" s="19"/>
      <c r="G47" s="19"/>
      <c r="H47" s="19"/>
      <c r="I47" s="19"/>
      <c r="J47" s="19"/>
      <c r="K47" s="19"/>
      <c r="L47" s="19"/>
      <c r="M47" s="22"/>
      <c r="N47" s="25"/>
      <c r="O47" s="25"/>
      <c r="P47" s="25"/>
      <c r="Q47" s="25"/>
      <c r="R47" s="25"/>
      <c r="S47" s="179"/>
      <c r="T47" s="26"/>
      <c r="U47" s="33"/>
      <c r="V47" s="318">
        <f t="shared" si="0"/>
        <v>0</v>
      </c>
      <c r="W47" s="32"/>
      <c r="Y47" s="202"/>
      <c r="Z47" s="334" t="str">
        <f t="shared" si="1"/>
        <v/>
      </c>
    </row>
    <row r="48" spans="2:26" x14ac:dyDescent="0.3">
      <c r="B48" s="319">
        <v>32</v>
      </c>
      <c r="C48" s="21"/>
      <c r="D48" s="24"/>
      <c r="E48" s="19"/>
      <c r="F48" s="19"/>
      <c r="G48" s="19"/>
      <c r="H48" s="19"/>
      <c r="I48" s="19"/>
      <c r="J48" s="19"/>
      <c r="K48" s="19"/>
      <c r="L48" s="19"/>
      <c r="M48" s="22"/>
      <c r="N48" s="25"/>
      <c r="O48" s="25"/>
      <c r="P48" s="25"/>
      <c r="Q48" s="25"/>
      <c r="R48" s="25"/>
      <c r="S48" s="179"/>
      <c r="T48" s="26"/>
      <c r="U48" s="33"/>
      <c r="V48" s="318">
        <f t="shared" si="0"/>
        <v>0</v>
      </c>
      <c r="W48" s="32"/>
      <c r="Y48" s="202"/>
      <c r="Z48" s="334" t="str">
        <f t="shared" si="1"/>
        <v/>
      </c>
    </row>
    <row r="49" spans="2:26" x14ac:dyDescent="0.3">
      <c r="B49" s="319">
        <v>33</v>
      </c>
      <c r="C49" s="21"/>
      <c r="D49" s="24"/>
      <c r="E49" s="19"/>
      <c r="F49" s="19"/>
      <c r="G49" s="19"/>
      <c r="H49" s="19"/>
      <c r="I49" s="19"/>
      <c r="J49" s="19"/>
      <c r="K49" s="19"/>
      <c r="L49" s="19"/>
      <c r="M49" s="22"/>
      <c r="N49" s="25"/>
      <c r="O49" s="25"/>
      <c r="P49" s="25"/>
      <c r="Q49" s="25"/>
      <c r="R49" s="25"/>
      <c r="S49" s="179"/>
      <c r="T49" s="26"/>
      <c r="U49" s="33"/>
      <c r="V49" s="318">
        <f t="shared" si="0"/>
        <v>0</v>
      </c>
      <c r="W49" s="32"/>
      <c r="Y49" s="202"/>
      <c r="Z49" s="334" t="str">
        <f t="shared" si="1"/>
        <v/>
      </c>
    </row>
    <row r="50" spans="2:26" x14ac:dyDescent="0.3">
      <c r="B50" s="319">
        <v>34</v>
      </c>
      <c r="C50" s="21"/>
      <c r="D50" s="24"/>
      <c r="E50" s="19"/>
      <c r="F50" s="19"/>
      <c r="G50" s="19"/>
      <c r="H50" s="19"/>
      <c r="I50" s="19"/>
      <c r="J50" s="19"/>
      <c r="K50" s="19"/>
      <c r="L50" s="19"/>
      <c r="M50" s="22"/>
      <c r="N50" s="25"/>
      <c r="O50" s="25"/>
      <c r="P50" s="25"/>
      <c r="Q50" s="25"/>
      <c r="R50" s="25"/>
      <c r="S50" s="179"/>
      <c r="T50" s="26"/>
      <c r="U50" s="33"/>
      <c r="V50" s="318">
        <f t="shared" si="0"/>
        <v>0</v>
      </c>
      <c r="W50" s="32"/>
      <c r="Y50" s="202"/>
      <c r="Z50" s="334" t="str">
        <f t="shared" si="1"/>
        <v/>
      </c>
    </row>
    <row r="51" spans="2:26" x14ac:dyDescent="0.3">
      <c r="B51" s="319">
        <v>35</v>
      </c>
      <c r="C51" s="21"/>
      <c r="D51" s="24"/>
      <c r="E51" s="19"/>
      <c r="F51" s="19"/>
      <c r="G51" s="19"/>
      <c r="H51" s="19"/>
      <c r="I51" s="19"/>
      <c r="J51" s="19"/>
      <c r="K51" s="19"/>
      <c r="L51" s="19"/>
      <c r="M51" s="22"/>
      <c r="N51" s="25"/>
      <c r="O51" s="25"/>
      <c r="P51" s="25"/>
      <c r="Q51" s="25"/>
      <c r="R51" s="25"/>
      <c r="S51" s="179"/>
      <c r="T51" s="26"/>
      <c r="U51" s="33"/>
      <c r="V51" s="318">
        <f t="shared" si="0"/>
        <v>0</v>
      </c>
      <c r="W51" s="32"/>
      <c r="Y51" s="202"/>
      <c r="Z51" s="334" t="str">
        <f t="shared" si="1"/>
        <v/>
      </c>
    </row>
    <row r="52" spans="2:26" x14ac:dyDescent="0.3">
      <c r="B52" s="319">
        <v>36</v>
      </c>
      <c r="C52" s="21"/>
      <c r="D52" s="24"/>
      <c r="E52" s="19"/>
      <c r="F52" s="19"/>
      <c r="G52" s="19"/>
      <c r="H52" s="19"/>
      <c r="I52" s="19"/>
      <c r="J52" s="19"/>
      <c r="K52" s="19"/>
      <c r="L52" s="19"/>
      <c r="M52" s="22"/>
      <c r="N52" s="25"/>
      <c r="O52" s="25"/>
      <c r="P52" s="25"/>
      <c r="Q52" s="25"/>
      <c r="R52" s="25"/>
      <c r="S52" s="179"/>
      <c r="T52" s="26"/>
      <c r="U52" s="33"/>
      <c r="V52" s="318">
        <f t="shared" si="0"/>
        <v>0</v>
      </c>
      <c r="W52" s="32"/>
      <c r="Y52" s="202"/>
      <c r="Z52" s="334" t="str">
        <f t="shared" si="1"/>
        <v/>
      </c>
    </row>
    <row r="53" spans="2:26" x14ac:dyDescent="0.3">
      <c r="B53" s="319">
        <v>37</v>
      </c>
      <c r="C53" s="21"/>
      <c r="D53" s="24"/>
      <c r="E53" s="19"/>
      <c r="F53" s="19"/>
      <c r="G53" s="19"/>
      <c r="H53" s="19"/>
      <c r="I53" s="19"/>
      <c r="J53" s="19"/>
      <c r="K53" s="19"/>
      <c r="L53" s="19"/>
      <c r="M53" s="22"/>
      <c r="N53" s="25"/>
      <c r="O53" s="25"/>
      <c r="P53" s="25"/>
      <c r="Q53" s="25"/>
      <c r="R53" s="25"/>
      <c r="S53" s="179"/>
      <c r="T53" s="26"/>
      <c r="U53" s="33"/>
      <c r="V53" s="318">
        <f t="shared" si="0"/>
        <v>0</v>
      </c>
      <c r="W53" s="32"/>
      <c r="Y53" s="202"/>
      <c r="Z53" s="334" t="str">
        <f t="shared" si="1"/>
        <v/>
      </c>
    </row>
    <row r="54" spans="2:26" x14ac:dyDescent="0.3">
      <c r="B54" s="319">
        <v>38</v>
      </c>
      <c r="C54" s="21"/>
      <c r="D54" s="24"/>
      <c r="E54" s="19"/>
      <c r="F54" s="19"/>
      <c r="G54" s="19"/>
      <c r="H54" s="19"/>
      <c r="I54" s="19"/>
      <c r="J54" s="19"/>
      <c r="K54" s="19"/>
      <c r="L54" s="19"/>
      <c r="M54" s="22"/>
      <c r="N54" s="25"/>
      <c r="O54" s="25"/>
      <c r="P54" s="25"/>
      <c r="Q54" s="25"/>
      <c r="R54" s="25"/>
      <c r="S54" s="179"/>
      <c r="T54" s="26"/>
      <c r="U54" s="33"/>
      <c r="V54" s="318">
        <f t="shared" si="0"/>
        <v>0</v>
      </c>
      <c r="W54" s="32"/>
      <c r="Y54" s="202"/>
      <c r="Z54" s="334" t="str">
        <f t="shared" si="1"/>
        <v/>
      </c>
    </row>
    <row r="55" spans="2:26" x14ac:dyDescent="0.3">
      <c r="B55" s="319">
        <v>39</v>
      </c>
      <c r="C55" s="21"/>
      <c r="D55" s="24"/>
      <c r="E55" s="19"/>
      <c r="F55" s="19"/>
      <c r="G55" s="19"/>
      <c r="H55" s="19"/>
      <c r="I55" s="19"/>
      <c r="J55" s="19"/>
      <c r="K55" s="19"/>
      <c r="L55" s="19"/>
      <c r="M55" s="22"/>
      <c r="N55" s="25"/>
      <c r="O55" s="25"/>
      <c r="P55" s="25"/>
      <c r="Q55" s="25"/>
      <c r="R55" s="25"/>
      <c r="S55" s="179"/>
      <c r="T55" s="26"/>
      <c r="U55" s="33"/>
      <c r="V55" s="318">
        <f t="shared" si="0"/>
        <v>0</v>
      </c>
      <c r="W55" s="32"/>
      <c r="Y55" s="202"/>
      <c r="Z55" s="334" t="str">
        <f t="shared" si="1"/>
        <v/>
      </c>
    </row>
    <row r="56" spans="2:26" x14ac:dyDescent="0.3">
      <c r="B56" s="319">
        <v>40</v>
      </c>
      <c r="C56" s="21"/>
      <c r="D56" s="24"/>
      <c r="E56" s="19"/>
      <c r="F56" s="19"/>
      <c r="G56" s="19"/>
      <c r="H56" s="19"/>
      <c r="I56" s="19"/>
      <c r="J56" s="19"/>
      <c r="K56" s="19"/>
      <c r="L56" s="19"/>
      <c r="M56" s="22"/>
      <c r="N56" s="25"/>
      <c r="O56" s="25"/>
      <c r="P56" s="25"/>
      <c r="Q56" s="25"/>
      <c r="R56" s="25"/>
      <c r="S56" s="179"/>
      <c r="T56" s="26"/>
      <c r="U56" s="33"/>
      <c r="V56" s="318">
        <f t="shared" si="0"/>
        <v>0</v>
      </c>
      <c r="W56" s="32"/>
      <c r="Y56" s="202"/>
      <c r="Z56" s="334" t="str">
        <f t="shared" si="1"/>
        <v/>
      </c>
    </row>
    <row r="57" spans="2:26" x14ac:dyDescent="0.3">
      <c r="B57" s="319">
        <v>41</v>
      </c>
      <c r="C57" s="21"/>
      <c r="D57" s="24"/>
      <c r="E57" s="19"/>
      <c r="F57" s="19"/>
      <c r="G57" s="19"/>
      <c r="H57" s="19"/>
      <c r="I57" s="19"/>
      <c r="J57" s="19"/>
      <c r="K57" s="19"/>
      <c r="L57" s="19"/>
      <c r="M57" s="22"/>
      <c r="N57" s="25"/>
      <c r="O57" s="25"/>
      <c r="P57" s="25"/>
      <c r="Q57" s="25"/>
      <c r="R57" s="25"/>
      <c r="S57" s="179"/>
      <c r="T57" s="26"/>
      <c r="U57" s="33"/>
      <c r="V57" s="318">
        <f t="shared" si="0"/>
        <v>0</v>
      </c>
      <c r="W57" s="32"/>
      <c r="Y57" s="202"/>
      <c r="Z57" s="334" t="str">
        <f t="shared" si="1"/>
        <v/>
      </c>
    </row>
    <row r="58" spans="2:26" x14ac:dyDescent="0.3">
      <c r="B58" s="319">
        <v>42</v>
      </c>
      <c r="C58" s="21"/>
      <c r="D58" s="24"/>
      <c r="E58" s="19"/>
      <c r="F58" s="19"/>
      <c r="G58" s="19"/>
      <c r="H58" s="19"/>
      <c r="I58" s="19"/>
      <c r="J58" s="19"/>
      <c r="K58" s="19"/>
      <c r="L58" s="19"/>
      <c r="M58" s="22"/>
      <c r="N58" s="25"/>
      <c r="O58" s="25"/>
      <c r="P58" s="25"/>
      <c r="Q58" s="25"/>
      <c r="R58" s="25"/>
      <c r="S58" s="179"/>
      <c r="T58" s="26"/>
      <c r="U58" s="33"/>
      <c r="V58" s="318">
        <f t="shared" si="0"/>
        <v>0</v>
      </c>
      <c r="W58" s="32"/>
      <c r="Y58" s="202"/>
      <c r="Z58" s="334" t="str">
        <f t="shared" si="1"/>
        <v/>
      </c>
    </row>
    <row r="59" spans="2:26" x14ac:dyDescent="0.3">
      <c r="B59" s="319">
        <v>43</v>
      </c>
      <c r="C59" s="21"/>
      <c r="D59" s="24"/>
      <c r="E59" s="19"/>
      <c r="F59" s="19"/>
      <c r="G59" s="19"/>
      <c r="H59" s="19"/>
      <c r="I59" s="19"/>
      <c r="J59" s="19"/>
      <c r="K59" s="19"/>
      <c r="L59" s="19"/>
      <c r="M59" s="22"/>
      <c r="N59" s="25"/>
      <c r="O59" s="25"/>
      <c r="P59" s="25"/>
      <c r="Q59" s="25"/>
      <c r="R59" s="25"/>
      <c r="S59" s="179"/>
      <c r="T59" s="26"/>
      <c r="U59" s="33"/>
      <c r="V59" s="318">
        <f t="shared" si="0"/>
        <v>0</v>
      </c>
      <c r="W59" s="32"/>
      <c r="Y59" s="202"/>
      <c r="Z59" s="334" t="str">
        <f t="shared" si="1"/>
        <v/>
      </c>
    </row>
    <row r="60" spans="2:26" x14ac:dyDescent="0.3">
      <c r="B60" s="319">
        <v>44</v>
      </c>
      <c r="C60" s="21"/>
      <c r="D60" s="24"/>
      <c r="E60" s="19"/>
      <c r="F60" s="19"/>
      <c r="G60" s="19"/>
      <c r="H60" s="19"/>
      <c r="I60" s="19"/>
      <c r="J60" s="19"/>
      <c r="K60" s="19"/>
      <c r="L60" s="19"/>
      <c r="M60" s="22"/>
      <c r="N60" s="25"/>
      <c r="O60" s="25"/>
      <c r="P60" s="25"/>
      <c r="Q60" s="25"/>
      <c r="R60" s="25"/>
      <c r="S60" s="179"/>
      <c r="T60" s="26"/>
      <c r="U60" s="33"/>
      <c r="V60" s="318">
        <f t="shared" si="0"/>
        <v>0</v>
      </c>
      <c r="W60" s="32"/>
      <c r="Y60" s="202"/>
      <c r="Z60" s="334" t="str">
        <f t="shared" si="1"/>
        <v/>
      </c>
    </row>
    <row r="61" spans="2:26" x14ac:dyDescent="0.3">
      <c r="B61" s="319">
        <v>45</v>
      </c>
      <c r="C61" s="21"/>
      <c r="D61" s="24"/>
      <c r="E61" s="19"/>
      <c r="F61" s="19"/>
      <c r="G61" s="19"/>
      <c r="H61" s="19"/>
      <c r="I61" s="19"/>
      <c r="J61" s="19"/>
      <c r="K61" s="19"/>
      <c r="L61" s="19"/>
      <c r="M61" s="22"/>
      <c r="N61" s="25"/>
      <c r="O61" s="25"/>
      <c r="P61" s="25"/>
      <c r="Q61" s="25"/>
      <c r="R61" s="25"/>
      <c r="S61" s="179"/>
      <c r="T61" s="26"/>
      <c r="U61" s="33"/>
      <c r="V61" s="318">
        <f t="shared" si="0"/>
        <v>0</v>
      </c>
      <c r="W61" s="32"/>
      <c r="Y61" s="202"/>
      <c r="Z61" s="334" t="str">
        <f t="shared" si="1"/>
        <v/>
      </c>
    </row>
    <row r="62" spans="2:26" x14ac:dyDescent="0.3">
      <c r="B62" s="319">
        <v>46</v>
      </c>
      <c r="C62" s="21"/>
      <c r="D62" s="24"/>
      <c r="E62" s="19"/>
      <c r="F62" s="19"/>
      <c r="G62" s="19"/>
      <c r="H62" s="19"/>
      <c r="I62" s="19"/>
      <c r="J62" s="19"/>
      <c r="K62" s="19"/>
      <c r="L62" s="19"/>
      <c r="M62" s="22"/>
      <c r="N62" s="25"/>
      <c r="O62" s="25"/>
      <c r="P62" s="25"/>
      <c r="Q62" s="25"/>
      <c r="R62" s="25"/>
      <c r="S62" s="179"/>
      <c r="T62" s="26"/>
      <c r="U62" s="33"/>
      <c r="V62" s="318">
        <f t="shared" si="0"/>
        <v>0</v>
      </c>
      <c r="W62" s="32"/>
      <c r="Y62" s="202"/>
      <c r="Z62" s="334" t="str">
        <f t="shared" si="1"/>
        <v/>
      </c>
    </row>
    <row r="63" spans="2:26" x14ac:dyDescent="0.3">
      <c r="B63" s="319">
        <v>47</v>
      </c>
      <c r="C63" s="21"/>
      <c r="D63" s="24"/>
      <c r="E63" s="19"/>
      <c r="F63" s="19"/>
      <c r="G63" s="19"/>
      <c r="H63" s="19"/>
      <c r="I63" s="19"/>
      <c r="J63" s="19"/>
      <c r="K63" s="19"/>
      <c r="L63" s="19"/>
      <c r="M63" s="22"/>
      <c r="N63" s="25"/>
      <c r="O63" s="25"/>
      <c r="P63" s="25"/>
      <c r="Q63" s="25"/>
      <c r="R63" s="25"/>
      <c r="S63" s="179"/>
      <c r="T63" s="26"/>
      <c r="U63" s="33"/>
      <c r="V63" s="318">
        <f t="shared" si="0"/>
        <v>0</v>
      </c>
      <c r="W63" s="32"/>
      <c r="Y63" s="202"/>
      <c r="Z63" s="334" t="str">
        <f t="shared" si="1"/>
        <v/>
      </c>
    </row>
    <row r="64" spans="2:26" x14ac:dyDescent="0.3">
      <c r="B64" s="319">
        <v>48</v>
      </c>
      <c r="C64" s="21"/>
      <c r="D64" s="24"/>
      <c r="E64" s="19"/>
      <c r="F64" s="19"/>
      <c r="G64" s="19"/>
      <c r="H64" s="19"/>
      <c r="I64" s="19"/>
      <c r="J64" s="19"/>
      <c r="K64" s="19"/>
      <c r="L64" s="19"/>
      <c r="M64" s="22"/>
      <c r="N64" s="25"/>
      <c r="O64" s="25"/>
      <c r="P64" s="25"/>
      <c r="Q64" s="25"/>
      <c r="R64" s="25"/>
      <c r="S64" s="179"/>
      <c r="T64" s="26"/>
      <c r="U64" s="33"/>
      <c r="V64" s="318">
        <f t="shared" si="0"/>
        <v>0</v>
      </c>
      <c r="W64" s="32"/>
      <c r="Y64" s="202"/>
      <c r="Z64" s="334" t="str">
        <f t="shared" si="1"/>
        <v/>
      </c>
    </row>
    <row r="65" spans="1:26" x14ac:dyDescent="0.3">
      <c r="B65" s="319">
        <v>49</v>
      </c>
      <c r="C65" s="21"/>
      <c r="D65" s="24"/>
      <c r="E65" s="19"/>
      <c r="F65" s="19"/>
      <c r="G65" s="19"/>
      <c r="H65" s="19"/>
      <c r="I65" s="19"/>
      <c r="J65" s="19"/>
      <c r="K65" s="19"/>
      <c r="L65" s="19"/>
      <c r="M65" s="22"/>
      <c r="N65" s="25"/>
      <c r="O65" s="25"/>
      <c r="P65" s="25"/>
      <c r="Q65" s="25"/>
      <c r="R65" s="25"/>
      <c r="S65" s="179"/>
      <c r="T65" s="26"/>
      <c r="U65" s="33"/>
      <c r="V65" s="318">
        <f t="shared" si="0"/>
        <v>0</v>
      </c>
      <c r="W65" s="32"/>
      <c r="Y65" s="202"/>
      <c r="Z65" s="334" t="str">
        <f t="shared" si="1"/>
        <v/>
      </c>
    </row>
    <row r="66" spans="1:26" x14ac:dyDescent="0.3">
      <c r="B66" s="322">
        <v>50</v>
      </c>
      <c r="C66" s="56"/>
      <c r="D66" s="57"/>
      <c r="E66" s="19"/>
      <c r="F66" s="19"/>
      <c r="G66" s="19"/>
      <c r="H66" s="19"/>
      <c r="I66" s="38"/>
      <c r="J66" s="38"/>
      <c r="K66" s="38"/>
      <c r="L66" s="38"/>
      <c r="M66" s="25"/>
      <c r="N66" s="25"/>
      <c r="O66" s="25"/>
      <c r="P66" s="25"/>
      <c r="Q66" s="25"/>
      <c r="R66" s="25"/>
      <c r="S66" s="179"/>
      <c r="T66" s="26"/>
      <c r="U66" s="33"/>
      <c r="V66" s="323">
        <f t="shared" si="0"/>
        <v>0</v>
      </c>
      <c r="W66" s="32"/>
      <c r="Y66" s="202"/>
      <c r="Z66" s="334" t="str">
        <f t="shared" si="1"/>
        <v/>
      </c>
    </row>
    <row r="67" spans="1:26" ht="15" thickBot="1" x14ac:dyDescent="0.35">
      <c r="A67" s="324"/>
      <c r="B67" s="325"/>
      <c r="C67" s="326" t="s">
        <v>480</v>
      </c>
      <c r="D67" s="327" t="s">
        <v>587</v>
      </c>
      <c r="E67" s="327"/>
      <c r="F67" s="327"/>
      <c r="G67" s="327"/>
      <c r="H67" s="327"/>
      <c r="I67" s="327" t="s">
        <v>587</v>
      </c>
      <c r="J67" s="327" t="s">
        <v>587</v>
      </c>
      <c r="K67" s="327" t="s">
        <v>587</v>
      </c>
      <c r="L67" s="327" t="s">
        <v>587</v>
      </c>
      <c r="M67" s="327" t="s">
        <v>587</v>
      </c>
      <c r="N67" s="327" t="s">
        <v>587</v>
      </c>
      <c r="O67" s="327" t="s">
        <v>587</v>
      </c>
      <c r="P67" s="327" t="s">
        <v>587</v>
      </c>
      <c r="Q67" s="327" t="s">
        <v>587</v>
      </c>
      <c r="R67" s="327" t="s">
        <v>587</v>
      </c>
      <c r="S67" s="328" t="s">
        <v>587</v>
      </c>
      <c r="T67" s="329" t="s">
        <v>587</v>
      </c>
      <c r="U67" s="180" t="s">
        <v>587</v>
      </c>
      <c r="V67" s="111">
        <f>SUM(V17:V66)</f>
        <v>0</v>
      </c>
      <c r="W67" s="112" t="s">
        <v>587</v>
      </c>
      <c r="Y67" s="182">
        <f>SUM(Y17:Y66)</f>
        <v>0</v>
      </c>
      <c r="Z67" s="183">
        <f>SUM(Z17:Z66)</f>
        <v>0</v>
      </c>
    </row>
    <row r="69" spans="1:26" ht="14.7" customHeight="1" x14ac:dyDescent="0.3"/>
    <row r="70" spans="1:26" s="330" customFormat="1" ht="18" customHeight="1" x14ac:dyDescent="0.3">
      <c r="B70" s="331" t="s">
        <v>703</v>
      </c>
      <c r="C70" s="331"/>
      <c r="D70" s="331"/>
      <c r="E70" s="331"/>
      <c r="F70" s="331"/>
      <c r="G70" s="331"/>
      <c r="H70" s="331"/>
      <c r="I70" s="331"/>
      <c r="J70" s="331"/>
      <c r="K70" s="331"/>
      <c r="L70" s="332"/>
      <c r="M70" s="332"/>
      <c r="N70" s="332"/>
      <c r="O70" s="332"/>
    </row>
    <row r="71" spans="1:26" s="330" customFormat="1" ht="18" customHeight="1" x14ac:dyDescent="0.3">
      <c r="B71" s="233" t="s">
        <v>580</v>
      </c>
      <c r="C71" s="233"/>
      <c r="D71" s="233"/>
      <c r="E71" s="144"/>
      <c r="F71" s="144"/>
      <c r="G71" s="144"/>
      <c r="H71" s="144"/>
      <c r="I71" s="144"/>
      <c r="J71" s="144"/>
      <c r="K71" s="333"/>
      <c r="L71" s="333"/>
      <c r="M71" s="333"/>
      <c r="N71" s="333"/>
      <c r="O71" s="333"/>
    </row>
    <row r="72" spans="1:26" s="330" customFormat="1" ht="36" customHeight="1" x14ac:dyDescent="0.3">
      <c r="B72" s="331" t="s">
        <v>704</v>
      </c>
      <c r="C72" s="331"/>
      <c r="D72" s="331"/>
      <c r="E72" s="331"/>
      <c r="F72" s="331"/>
      <c r="G72" s="331"/>
      <c r="H72" s="331"/>
      <c r="I72" s="331"/>
      <c r="J72" s="331"/>
      <c r="K72" s="331"/>
      <c r="L72" s="332"/>
      <c r="M72" s="332"/>
      <c r="N72" s="332"/>
      <c r="O72" s="332"/>
    </row>
    <row r="73" spans="1:26" s="330" customFormat="1" ht="18" customHeight="1" x14ac:dyDescent="0.3">
      <c r="B73" s="233" t="s">
        <v>582</v>
      </c>
      <c r="C73" s="233"/>
      <c r="D73" s="233"/>
      <c r="E73" s="144"/>
      <c r="F73" s="144"/>
      <c r="G73" s="144"/>
      <c r="H73" s="144"/>
      <c r="I73" s="144"/>
      <c r="J73" s="144"/>
      <c r="K73" s="333"/>
      <c r="L73" s="333"/>
      <c r="M73" s="333"/>
      <c r="N73" s="333"/>
      <c r="O73" s="333"/>
    </row>
    <row r="74" spans="1:26" s="330" customFormat="1" ht="54" customHeight="1" x14ac:dyDescent="0.3">
      <c r="B74" s="331" t="s">
        <v>586</v>
      </c>
      <c r="C74" s="331"/>
      <c r="D74" s="331"/>
      <c r="E74" s="331"/>
      <c r="F74" s="331"/>
      <c r="G74" s="331"/>
      <c r="H74" s="331"/>
      <c r="I74" s="331"/>
      <c r="J74" s="331"/>
      <c r="K74" s="331"/>
      <c r="L74" s="332"/>
      <c r="M74" s="332"/>
      <c r="N74" s="332"/>
      <c r="O74" s="332"/>
    </row>
    <row r="75" spans="1:26" s="330" customFormat="1" ht="18" customHeight="1" x14ac:dyDescent="0.3">
      <c r="B75" s="233" t="s">
        <v>582</v>
      </c>
      <c r="C75" s="233"/>
      <c r="D75" s="233"/>
      <c r="E75" s="144"/>
      <c r="F75" s="144"/>
      <c r="G75" s="144"/>
      <c r="H75" s="144"/>
      <c r="I75" s="144"/>
      <c r="J75" s="144"/>
      <c r="K75" s="333"/>
      <c r="L75" s="333"/>
      <c r="M75" s="333"/>
      <c r="N75" s="333"/>
      <c r="O75" s="333"/>
    </row>
    <row r="76" spans="1:26" s="330" customFormat="1" ht="18" customHeight="1" x14ac:dyDescent="0.3">
      <c r="B76" s="331" t="s">
        <v>780</v>
      </c>
      <c r="C76" s="331"/>
      <c r="D76" s="331"/>
      <c r="E76" s="331"/>
      <c r="F76" s="331"/>
      <c r="G76" s="331"/>
      <c r="H76" s="331"/>
      <c r="I76" s="331"/>
      <c r="J76" s="331"/>
      <c r="K76" s="331"/>
      <c r="L76" s="331"/>
      <c r="M76" s="331"/>
      <c r="N76" s="331"/>
      <c r="O76" s="331"/>
    </row>
    <row r="77" spans="1:26" s="330" customFormat="1" ht="18" customHeight="1" x14ac:dyDescent="0.3">
      <c r="B77" s="233" t="s">
        <v>779</v>
      </c>
      <c r="C77" s="233"/>
      <c r="D77" s="233"/>
      <c r="E77" s="144"/>
      <c r="F77" s="144"/>
      <c r="G77" s="144"/>
      <c r="H77" s="144"/>
      <c r="I77" s="144"/>
      <c r="J77" s="144"/>
      <c r="K77" s="333"/>
      <c r="L77" s="333"/>
      <c r="M77" s="333"/>
      <c r="N77" s="333"/>
      <c r="O77" s="333"/>
    </row>
  </sheetData>
  <sheetProtection algorithmName="SHA-512" hashValue="5uBqj8MRM2a93gX+F9QJI2R0cL0GomE0DexYZLGPY0G7SRkGQV99SVJidm2FB6Xd8M9zqHknz3Go7d7Quq0T3Q==" saltValue="dFzjRQiQB3rFDeVC0TSbqA==" spinCount="100000" sheet="1" objects="1" scenarios="1"/>
  <protectedRanges>
    <protectedRange sqref="E15:F15" name="Range2"/>
    <protectedRange sqref="G15:H15" name="Range2_1"/>
  </protectedRanges>
  <dataConsolidate/>
  <mergeCells count="16">
    <mergeCell ref="B4:C5"/>
    <mergeCell ref="D4:D5"/>
    <mergeCell ref="Y13:Z14"/>
    <mergeCell ref="B75:D75"/>
    <mergeCell ref="B76:O76"/>
    <mergeCell ref="B11:C11"/>
    <mergeCell ref="B10:C10"/>
    <mergeCell ref="B16:C16"/>
    <mergeCell ref="B15:C15"/>
    <mergeCell ref="B12:C12"/>
    <mergeCell ref="B77:D77"/>
    <mergeCell ref="B70:K70"/>
    <mergeCell ref="B71:D71"/>
    <mergeCell ref="B72:K72"/>
    <mergeCell ref="B73:D73"/>
    <mergeCell ref="B74:K74"/>
  </mergeCells>
  <phoneticPr fontId="13" type="noConversion"/>
  <conditionalFormatting sqref="E17:J66 L17:L66 N17:O66 V17:V66">
    <cfRule type="expression" dxfId="23" priority="5">
      <formula>$D17="Incremental Cost Approach Measure"</formula>
    </cfRule>
  </conditionalFormatting>
  <conditionalFormatting sqref="E17:J66 N17:O66 V17:V66 Y17:Z66">
    <cfRule type="expression" dxfId="22" priority="9">
      <formula>$D17="Renewable Energy System"</formula>
    </cfRule>
  </conditionalFormatting>
  <conditionalFormatting sqref="G17:H66 K17:K66 M17:M66 P17:U66 W17:W66">
    <cfRule type="expression" dxfId="21" priority="4">
      <formula>$D17="Incremental Cost Approach Measure"</formula>
    </cfRule>
  </conditionalFormatting>
  <conditionalFormatting sqref="G17:J66 L17:L66 N17:O66 V17:V66 Y17:Z66">
    <cfRule type="expression" dxfId="20" priority="3">
      <formula>$D17="Prequalified Measure"</formula>
    </cfRule>
  </conditionalFormatting>
  <conditionalFormatting sqref="I17:K66 M17:M66 P17:U66 W17:W66">
    <cfRule type="expression" dxfId="19" priority="10">
      <formula>$D17="Energy Efficiency Improvement"</formula>
    </cfRule>
  </conditionalFormatting>
  <conditionalFormatting sqref="I17:W66">
    <cfRule type="expression" dxfId="18" priority="1">
      <formula>ISBLANK($D17)</formula>
    </cfRule>
  </conditionalFormatting>
  <conditionalFormatting sqref="K17:K66 M17:M66 P17:U66 W17:W66 E17:F66">
    <cfRule type="expression" dxfId="17" priority="2">
      <formula>$D17="Prequalified Measure"</formula>
    </cfRule>
  </conditionalFormatting>
  <conditionalFormatting sqref="K17:M66 P17:U66 W17:W66">
    <cfRule type="expression" dxfId="16" priority="8">
      <formula>$D17="Renewable Energy System"</formula>
    </cfRule>
  </conditionalFormatting>
  <conditionalFormatting sqref="L17:L66 E17:H66 N17:O66 V17:V66 Y17:Z66">
    <cfRule type="expression" dxfId="15" priority="11">
      <formula>$D17="Energy Efficiency Improvement"</formula>
    </cfRule>
  </conditionalFormatting>
  <conditionalFormatting sqref="N17:N66 P17:P66 S17:U66">
    <cfRule type="expression" dxfId="14" priority="15">
      <formula>$D17="Ancillary Measure – Required to Implement Energy Improvement"</formula>
    </cfRule>
  </conditionalFormatting>
  <conditionalFormatting sqref="O17:O66 S17:S66 U17:U66 W17:W66">
    <cfRule type="expression" dxfId="13" priority="12">
      <formula>$D17="Eligible Soft Cost"</formula>
    </cfRule>
  </conditionalFormatting>
  <conditionalFormatting sqref="O17:W66 E17:M66 Y17:Z66">
    <cfRule type="expression" dxfId="12" priority="16">
      <formula>$D17="Ancillary Measure – Required to Implement Energy Improvement"</formula>
    </cfRule>
    <cfRule type="expression" dxfId="11" priority="24">
      <formula>$D17="Ancillary Measure – Energy-Related Health and Safety"</formula>
    </cfRule>
  </conditionalFormatting>
  <conditionalFormatting sqref="P17:P66 S17:U66 N17:N66">
    <cfRule type="expression" dxfId="10" priority="20">
      <formula>$D17="Ancillary Measure – Energy-Related Health and Safety"</formula>
    </cfRule>
  </conditionalFormatting>
  <conditionalFormatting sqref="P17:V66 E17:N66 Y17:Z66">
    <cfRule type="expression" dxfId="9" priority="14">
      <formula>$D17="Eligible Soft Cost"</formula>
    </cfRule>
  </conditionalFormatting>
  <dataValidations count="9">
    <dataValidation type="list" allowBlank="1" showInputMessage="1" showErrorMessage="1" sqref="T17:T66" xr:uid="{714F5D2E-984A-4F20-927E-CD3E692612C2}">
      <formula1>units</formula1>
    </dataValidation>
    <dataValidation type="list" allowBlank="1" showInputMessage="1" showErrorMessage="1" sqref="J17:J66" xr:uid="{E00C3BAD-5B32-4A5E-8F05-E41828920E79}">
      <formula1>ee_measures</formula1>
    </dataValidation>
    <dataValidation type="list" allowBlank="1" showInputMessage="1" showErrorMessage="1" sqref="L17:L66" xr:uid="{FFCACC08-37AB-485F-B6B5-E17CC777B389}">
      <formula1>re_systems</formula1>
    </dataValidation>
    <dataValidation type="list" allowBlank="1" showInputMessage="1" showErrorMessage="1" sqref="D17:D66" xr:uid="{FA877C0A-489D-4E0D-BD3E-367E5D82655B}">
      <formula1>measure_types</formula1>
    </dataValidation>
    <dataValidation type="list" allowBlank="1" showInputMessage="1" showErrorMessage="1" sqref="P17:P66" xr:uid="{2DD8C1D4-EBCF-443D-A8BF-0E8568E295E1}">
      <formula1>locations</formula1>
    </dataValidation>
    <dataValidation type="list" allowBlank="1" showInputMessage="1" showErrorMessage="1" sqref="I17:I66" xr:uid="{4B119B02-3D22-4280-86CA-8328D3A9C055}">
      <formula1>ee_categories</formula1>
    </dataValidation>
    <dataValidation type="list" allowBlank="1" showInputMessage="1" showErrorMessage="1" sqref="E17:E66" xr:uid="{EF569CA6-4ABA-427B-9976-4C5AE839C18B}">
      <formula1>prequal_categories</formula1>
    </dataValidation>
    <dataValidation type="list" allowBlank="1" showInputMessage="1" showErrorMessage="1" sqref="F17:F66" xr:uid="{B90F8D43-E684-49C8-A53C-B6A86A3B7B13}">
      <formula1>prequal_measures</formula1>
    </dataValidation>
    <dataValidation type="list" allowBlank="1" showInputMessage="1" showErrorMessage="1" sqref="G17:G66" xr:uid="{62CD4ED1-08B2-4051-9733-EB977B4EDD7F}">
      <formula1>incr_cost_cats</formula1>
    </dataValidation>
  </dataValidations>
  <hyperlinks>
    <hyperlink ref="B73" r:id="rId1" xr:uid="{831DBDEC-6284-4B56-B21E-3B528AA9E210}"/>
    <hyperlink ref="B77" r:id="rId2" xr:uid="{057C10E5-7BB6-4B8A-BBC0-8F79167953EF}"/>
    <hyperlink ref="B71" r:id="rId3" xr:uid="{F9B8EDFD-BEB3-4BD8-9C7D-43080F6BC098}"/>
    <hyperlink ref="B75" r:id="rId4" xr:uid="{9B3293DD-0AC8-4C9B-9612-F193E96AFC02}"/>
    <hyperlink ref="B75:D75" r:id="rId5" display="https://www.nyserda.ny.gov/All-Programs/commercial-property-assessed-clean-energy" xr:uid="{EE6036EE-3BFD-4598-B230-D04A433DF74C}"/>
  </hyperlinks>
  <pageMargins left="0.7" right="0.7" top="0.75" bottom="0.75" header="0.3" footer="0.3"/>
  <pageSetup orientation="portrait"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r:uid="{9F23FC21-0D1B-4DB4-B320-B96F7DE75F1C}">
          <x14:formula1>
            <xm:f>Backup!$D$12:$D$13</xm:f>
          </x14:formula1>
          <xm:sqref>D4:D5</xm:sqref>
        </x14:dataValidation>
        <x14:dataValidation type="list" allowBlank="1" showErrorMessage="1" xr:uid="{38D77E21-AABB-4BDE-8590-00F27ABD9268}">
          <x14:formula1>
            <xm:f>'Incr Cost Measures'!$B$5:$B$23</xm:f>
          </x14:formula1>
          <xm:sqref>H17:H66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1A0F-F7F6-4AEF-B432-5AA8EDC9D122}">
  <sheetPr codeName="Sheet5">
    <tabColor theme="9" tint="0.79998168889431442"/>
  </sheetPr>
  <dimension ref="A1:AD78"/>
  <sheetViews>
    <sheetView showGridLines="0" zoomScale="55" zoomScaleNormal="55" workbookViewId="0">
      <selection activeCell="U40" sqref="U40:V68"/>
    </sheetView>
  </sheetViews>
  <sheetFormatPr defaultColWidth="0" defaultRowHeight="14.4" zeroHeight="1" x14ac:dyDescent="0.3"/>
  <cols>
    <col min="1" max="1" width="1.5546875" style="267" customWidth="1"/>
    <col min="2" max="2" width="3.5546875" style="267" customWidth="1"/>
    <col min="3" max="4" width="20.6640625" style="267" customWidth="1"/>
    <col min="5" max="5" width="21.44140625" style="267" customWidth="1"/>
    <col min="6" max="6" width="20.5546875" style="267" customWidth="1"/>
    <col min="7" max="7" width="15.6640625" style="267" customWidth="1"/>
    <col min="8" max="8" width="16.6640625" style="267" customWidth="1"/>
    <col min="9" max="9" width="14.5546875" style="267" customWidth="1"/>
    <col min="10" max="10" width="15.5546875" style="267" customWidth="1"/>
    <col min="11" max="11" width="14.5546875" style="267" customWidth="1"/>
    <col min="12" max="12" width="15.5546875" style="267" customWidth="1"/>
    <col min="13" max="13" width="14.5546875" style="267" customWidth="1"/>
    <col min="14" max="14" width="15.6640625" style="267" customWidth="1"/>
    <col min="15" max="15" width="17" style="267" customWidth="1"/>
    <col min="16" max="19" width="22.33203125" style="267" customWidth="1"/>
    <col min="20" max="22" width="16.33203125" style="267" customWidth="1"/>
    <col min="23" max="23" width="14.5546875" style="267" customWidth="1"/>
    <col min="24" max="25" width="9.33203125" style="267" customWidth="1"/>
    <col min="26" max="28" width="9.33203125" style="267" hidden="1" customWidth="1"/>
    <col min="29" max="30" width="0" style="267" hidden="1" customWidth="1"/>
    <col min="31" max="16384" width="9.33203125" style="267" hidden="1"/>
  </cols>
  <sheetData>
    <row r="1" spans="2:22" ht="28.5" customHeight="1" x14ac:dyDescent="0.3"/>
    <row r="2" spans="2:22" ht="119.7" customHeight="1" thickBot="1" x14ac:dyDescent="0.35">
      <c r="B2" s="268" t="s">
        <v>523</v>
      </c>
      <c r="N2" s="335"/>
    </row>
    <row r="3" spans="2:22" ht="16.8" thickBot="1" x14ac:dyDescent="0.35">
      <c r="E3" s="295"/>
      <c r="H3" s="336" t="s">
        <v>481</v>
      </c>
      <c r="I3" s="337"/>
      <c r="J3" s="336" t="s">
        <v>482</v>
      </c>
      <c r="K3" s="337"/>
      <c r="L3" s="336" t="s">
        <v>676</v>
      </c>
      <c r="M3" s="337"/>
      <c r="N3" s="336" t="s">
        <v>719</v>
      </c>
      <c r="O3" s="337"/>
    </row>
    <row r="4" spans="2:22" s="343" customFormat="1" ht="28.8" x14ac:dyDescent="0.3">
      <c r="B4" s="338" t="s">
        <v>540</v>
      </c>
      <c r="C4" s="339"/>
      <c r="D4" s="299" t="s">
        <v>8</v>
      </c>
      <c r="E4" s="299" t="s">
        <v>536</v>
      </c>
      <c r="F4" s="299" t="s">
        <v>537</v>
      </c>
      <c r="G4" s="340" t="s">
        <v>536</v>
      </c>
      <c r="H4" s="341" t="s">
        <v>538</v>
      </c>
      <c r="I4" s="301" t="s">
        <v>539</v>
      </c>
      <c r="J4" s="342" t="s">
        <v>538</v>
      </c>
      <c r="K4" s="301" t="s">
        <v>539</v>
      </c>
      <c r="L4" s="342" t="s">
        <v>538</v>
      </c>
      <c r="M4" s="301" t="s">
        <v>539</v>
      </c>
      <c r="N4" s="341" t="s">
        <v>538</v>
      </c>
      <c r="O4" s="301" t="s">
        <v>539</v>
      </c>
      <c r="P4" s="267"/>
      <c r="Q4" s="267"/>
      <c r="R4" s="267"/>
      <c r="S4" s="267"/>
      <c r="T4" s="267"/>
      <c r="U4" s="267"/>
      <c r="V4" s="267"/>
    </row>
    <row r="5" spans="2:22" s="352" customFormat="1" ht="14.85" customHeight="1" thickBot="1" x14ac:dyDescent="0.35">
      <c r="B5" s="344"/>
      <c r="C5" s="345"/>
      <c r="D5" s="346"/>
      <c r="E5" s="347" t="s">
        <v>706</v>
      </c>
      <c r="F5" s="346" t="s">
        <v>489</v>
      </c>
      <c r="G5" s="348" t="s">
        <v>484</v>
      </c>
      <c r="H5" s="349" t="s">
        <v>720</v>
      </c>
      <c r="I5" s="350" t="s">
        <v>485</v>
      </c>
      <c r="J5" s="351"/>
      <c r="K5" s="350" t="s">
        <v>485</v>
      </c>
      <c r="L5" s="351"/>
      <c r="M5" s="350" t="s">
        <v>485</v>
      </c>
      <c r="N5" s="351"/>
      <c r="O5" s="350" t="s">
        <v>485</v>
      </c>
      <c r="P5" s="267"/>
      <c r="Q5" s="267"/>
      <c r="R5" s="267"/>
      <c r="S5" s="267"/>
      <c r="T5" s="267"/>
      <c r="U5" s="267"/>
      <c r="V5" s="267"/>
    </row>
    <row r="6" spans="2:22" x14ac:dyDescent="0.3">
      <c r="B6" s="353" t="s">
        <v>0</v>
      </c>
      <c r="C6" s="354"/>
      <c r="D6" s="355" t="s">
        <v>478</v>
      </c>
      <c r="E6" s="166"/>
      <c r="F6" s="167"/>
      <c r="G6" s="356">
        <f>$E$6*Backup!$J$4/1000</f>
        <v>0</v>
      </c>
      <c r="H6" s="357">
        <v>2.8896199999999998E-4</v>
      </c>
      <c r="I6" s="358">
        <f>$E$6*$H$6</f>
        <v>0</v>
      </c>
      <c r="J6" s="359">
        <v>1.45E-4</v>
      </c>
      <c r="K6" s="360">
        <f>$E$6*$J$6</f>
        <v>0</v>
      </c>
      <c r="L6" s="359">
        <f>J6</f>
        <v>1.45E-4</v>
      </c>
      <c r="M6" s="360">
        <f>$E$6*$L$6</f>
        <v>0</v>
      </c>
      <c r="N6" s="359">
        <f>L6</f>
        <v>1.45E-4</v>
      </c>
      <c r="O6" s="360">
        <f>E6*N6</f>
        <v>0</v>
      </c>
      <c r="P6" s="361"/>
    </row>
    <row r="7" spans="2:22" x14ac:dyDescent="0.3">
      <c r="B7" s="362" t="s">
        <v>549</v>
      </c>
      <c r="C7" s="363"/>
      <c r="D7" s="364" t="s">
        <v>477</v>
      </c>
      <c r="E7" s="17"/>
      <c r="F7" s="168"/>
      <c r="G7" s="365">
        <f>$E$7*Backup!$J$5/1000</f>
        <v>0</v>
      </c>
      <c r="H7" s="366">
        <v>5.3109999999999998E-5</v>
      </c>
      <c r="I7" s="367">
        <f>$G$7*$H$7</f>
        <v>0</v>
      </c>
      <c r="J7" s="368">
        <v>5.3109999999999998E-5</v>
      </c>
      <c r="K7" s="367">
        <f>$G$7*$J$7</f>
        <v>0</v>
      </c>
      <c r="L7" s="368">
        <f>J7</f>
        <v>5.3109999999999998E-5</v>
      </c>
      <c r="M7" s="367">
        <f>$G$7*$L$7</f>
        <v>0</v>
      </c>
      <c r="N7" s="368">
        <f>L7</f>
        <v>5.3109999999999998E-5</v>
      </c>
      <c r="O7" s="360">
        <f t="shared" ref="O7:O10" si="0">G7*N7</f>
        <v>0</v>
      </c>
      <c r="P7" s="361"/>
    </row>
    <row r="8" spans="2:22" x14ac:dyDescent="0.3">
      <c r="B8" s="362" t="s">
        <v>534</v>
      </c>
      <c r="C8" s="363"/>
      <c r="D8" s="364" t="s">
        <v>475</v>
      </c>
      <c r="E8" s="17"/>
      <c r="F8" s="168"/>
      <c r="G8" s="365">
        <f>$E$8*Backup!$J$6/1000</f>
        <v>0</v>
      </c>
      <c r="H8" s="369">
        <v>7.4209999999999996E-5</v>
      </c>
      <c r="I8" s="367">
        <f>$G$8*$H$8</f>
        <v>0</v>
      </c>
      <c r="J8" s="368">
        <v>7.4209999999999996E-5</v>
      </c>
      <c r="K8" s="367">
        <f>$G$8*$J$8</f>
        <v>0</v>
      </c>
      <c r="L8" s="368">
        <f>J8</f>
        <v>7.4209999999999996E-5</v>
      </c>
      <c r="M8" s="367">
        <f>$G$8*$L$8</f>
        <v>0</v>
      </c>
      <c r="N8" s="368">
        <f>L8</f>
        <v>7.4209999999999996E-5</v>
      </c>
      <c r="O8" s="360">
        <f t="shared" si="0"/>
        <v>0</v>
      </c>
      <c r="P8" s="361"/>
    </row>
    <row r="9" spans="2:22" x14ac:dyDescent="0.3">
      <c r="B9" s="362" t="s">
        <v>535</v>
      </c>
      <c r="C9" s="363"/>
      <c r="D9" s="364" t="s">
        <v>475</v>
      </c>
      <c r="E9" s="17"/>
      <c r="F9" s="168"/>
      <c r="G9" s="365">
        <f>$E$9*Backup!$J$7/1000</f>
        <v>0</v>
      </c>
      <c r="H9" s="369">
        <v>7.5290000000000006E-5</v>
      </c>
      <c r="I9" s="367">
        <f>$G$9*$H$9</f>
        <v>0</v>
      </c>
      <c r="J9" s="368">
        <v>7.5290000000000006E-5</v>
      </c>
      <c r="K9" s="367">
        <f>$G$9*$J$9</f>
        <v>0</v>
      </c>
      <c r="L9" s="368">
        <f>J9</f>
        <v>7.5290000000000006E-5</v>
      </c>
      <c r="M9" s="367">
        <f>$G$9*$L$9</f>
        <v>0</v>
      </c>
      <c r="N9" s="368">
        <f>L9</f>
        <v>7.5290000000000006E-5</v>
      </c>
      <c r="O9" s="360">
        <f t="shared" si="0"/>
        <v>0</v>
      </c>
      <c r="P9" s="361"/>
    </row>
    <row r="10" spans="2:22" x14ac:dyDescent="0.3">
      <c r="B10" s="370" t="s">
        <v>545</v>
      </c>
      <c r="C10" s="371"/>
      <c r="D10" s="372" t="s">
        <v>476</v>
      </c>
      <c r="E10" s="169"/>
      <c r="F10" s="170"/>
      <c r="G10" s="373">
        <f>$E$10*Backup!$J$8/1000</f>
        <v>0</v>
      </c>
      <c r="H10" s="369">
        <v>4.4929999999999998E-5</v>
      </c>
      <c r="I10" s="367">
        <f>$G$10*$H$10</f>
        <v>0</v>
      </c>
      <c r="J10" s="368">
        <v>4.32E-5</v>
      </c>
      <c r="K10" s="367">
        <f>$G$10*$J$10</f>
        <v>0</v>
      </c>
      <c r="L10" s="368">
        <f>J10</f>
        <v>4.32E-5</v>
      </c>
      <c r="M10" s="367">
        <f>$G$10*$L$10</f>
        <v>0</v>
      </c>
      <c r="N10" s="368">
        <f>L10</f>
        <v>4.32E-5</v>
      </c>
      <c r="O10" s="360">
        <f t="shared" si="0"/>
        <v>0</v>
      </c>
      <c r="P10" s="361"/>
    </row>
    <row r="11" spans="2:22" s="382" customFormat="1" ht="15" thickBot="1" x14ac:dyDescent="0.35">
      <c r="B11" s="374" t="s">
        <v>480</v>
      </c>
      <c r="C11" s="375"/>
      <c r="D11" s="376"/>
      <c r="E11" s="377"/>
      <c r="F11" s="377"/>
      <c r="G11" s="378">
        <f>SUM(G6:G10)</f>
        <v>0</v>
      </c>
      <c r="H11" s="379"/>
      <c r="I11" s="380">
        <f>SUM(I6:I10)</f>
        <v>0</v>
      </c>
      <c r="J11" s="381"/>
      <c r="K11" s="380">
        <f>SUM(K6:K10)</f>
        <v>0</v>
      </c>
      <c r="L11" s="381"/>
      <c r="M11" s="380">
        <f>SUM(M6:M10)</f>
        <v>0</v>
      </c>
      <c r="N11" s="381"/>
      <c r="O11" s="380">
        <f>SUM(O6:O10)</f>
        <v>0</v>
      </c>
    </row>
    <row r="12" spans="2:22" s="382" customFormat="1" ht="15" thickBot="1" x14ac:dyDescent="0.35">
      <c r="B12" s="383" t="s">
        <v>705</v>
      </c>
      <c r="C12" s="384"/>
      <c r="D12" s="385"/>
      <c r="E12" s="386"/>
      <c r="F12" s="386"/>
      <c r="G12" s="387">
        <f>G11-O69</f>
        <v>0</v>
      </c>
      <c r="H12" s="388"/>
      <c r="I12" s="389">
        <f>I11-P69</f>
        <v>0</v>
      </c>
      <c r="J12" s="390"/>
      <c r="K12" s="389">
        <f>K11-Q69</f>
        <v>0</v>
      </c>
      <c r="L12" s="390"/>
      <c r="M12" s="389">
        <f>M11-R69</f>
        <v>0</v>
      </c>
      <c r="N12" s="390"/>
      <c r="O12" s="389">
        <f>O11-S69</f>
        <v>0</v>
      </c>
    </row>
    <row r="13" spans="2:22" s="382" customFormat="1" x14ac:dyDescent="0.3">
      <c r="H13" s="391"/>
    </row>
    <row r="14" spans="2:22" s="382" customFormat="1" x14ac:dyDescent="0.3">
      <c r="B14" s="392" t="s">
        <v>548</v>
      </c>
      <c r="C14" s="393"/>
      <c r="D14" s="393"/>
      <c r="E14" s="17"/>
      <c r="O14" s="394"/>
    </row>
    <row r="15" spans="2:22" ht="15.75" customHeight="1" thickBot="1" x14ac:dyDescent="0.35">
      <c r="B15" s="395"/>
      <c r="D15" s="395"/>
      <c r="E15" s="396"/>
      <c r="F15" s="397"/>
      <c r="G15" s="382"/>
      <c r="J15" s="269"/>
    </row>
    <row r="16" spans="2:22" ht="34.200000000000003" customHeight="1" thickBot="1" x14ac:dyDescent="0.35">
      <c r="B16" s="395"/>
      <c r="D16" s="395"/>
      <c r="F16" s="397"/>
      <c r="G16" s="397"/>
      <c r="J16" s="398" t="s">
        <v>575</v>
      </c>
      <c r="K16" s="399"/>
      <c r="L16" s="399"/>
      <c r="M16" s="399"/>
      <c r="N16" s="399"/>
      <c r="O16" s="399"/>
      <c r="P16" s="399"/>
      <c r="Q16" s="399"/>
      <c r="R16" s="399"/>
      <c r="S16" s="399"/>
      <c r="T16" s="399"/>
      <c r="U16" s="399"/>
      <c r="V16" s="400"/>
    </row>
    <row r="17" spans="2:25" s="382" customFormat="1" ht="28.5" customHeight="1" x14ac:dyDescent="0.3">
      <c r="B17" s="338" t="s">
        <v>572</v>
      </c>
      <c r="C17" s="339"/>
      <c r="D17" s="401"/>
      <c r="E17" s="339" t="s">
        <v>718</v>
      </c>
      <c r="F17" s="402"/>
      <c r="G17" s="403" t="s">
        <v>533</v>
      </c>
      <c r="H17" s="404" t="s">
        <v>547</v>
      </c>
      <c r="I17" s="405" t="s">
        <v>541</v>
      </c>
      <c r="J17" s="406" t="s">
        <v>0</v>
      </c>
      <c r="K17" s="406" t="s">
        <v>549</v>
      </c>
      <c r="L17" s="406" t="s">
        <v>534</v>
      </c>
      <c r="M17" s="406" t="s">
        <v>535</v>
      </c>
      <c r="N17" s="406" t="s">
        <v>545</v>
      </c>
      <c r="O17" s="407" t="s">
        <v>542</v>
      </c>
      <c r="P17" s="407" t="s">
        <v>546</v>
      </c>
      <c r="Q17" s="407" t="s">
        <v>678</v>
      </c>
      <c r="R17" s="407" t="s">
        <v>679</v>
      </c>
      <c r="S17" s="407" t="s">
        <v>680</v>
      </c>
      <c r="T17" s="408" t="s">
        <v>543</v>
      </c>
      <c r="U17" s="409" t="s">
        <v>681</v>
      </c>
      <c r="V17" s="410" t="s">
        <v>544</v>
      </c>
    </row>
    <row r="18" spans="2:25" s="266" customFormat="1" ht="14.85" customHeight="1" thickBot="1" x14ac:dyDescent="0.35">
      <c r="B18" s="411" t="s">
        <v>606</v>
      </c>
      <c r="C18" s="412"/>
      <c r="D18" s="413"/>
      <c r="E18" s="412" t="s">
        <v>606</v>
      </c>
      <c r="F18" s="414"/>
      <c r="G18" s="415" t="s">
        <v>606</v>
      </c>
      <c r="H18" s="416" t="s">
        <v>520</v>
      </c>
      <c r="I18" s="417" t="s">
        <v>479</v>
      </c>
      <c r="J18" s="418" t="s">
        <v>478</v>
      </c>
      <c r="K18" s="418" t="s">
        <v>477</v>
      </c>
      <c r="L18" s="418" t="s">
        <v>475</v>
      </c>
      <c r="M18" s="418" t="s">
        <v>475</v>
      </c>
      <c r="N18" s="418" t="s">
        <v>476</v>
      </c>
      <c r="O18" s="418" t="s">
        <v>484</v>
      </c>
      <c r="P18" s="418" t="s">
        <v>485</v>
      </c>
      <c r="Q18" s="418"/>
      <c r="R18" s="418"/>
      <c r="S18" s="418"/>
      <c r="T18" s="416" t="s">
        <v>483</v>
      </c>
      <c r="U18" s="419" t="s">
        <v>483</v>
      </c>
      <c r="V18" s="420" t="s">
        <v>488</v>
      </c>
    </row>
    <row r="19" spans="2:25" x14ac:dyDescent="0.3">
      <c r="B19" s="421">
        <v>1</v>
      </c>
      <c r="C19" s="422" t="str">
        <f>IF('4 Construction Scope'!D17&lt;&gt;"",'4 Construction Scope'!D17,"")</f>
        <v/>
      </c>
      <c r="D19" s="423"/>
      <c r="E19" s="424" t="str">
        <f>IF('4 Construction Scope'!D17="Renewable Energy System",'4 Construction Scope'!L17,IF('4 Construction Scope'!D17="Energy Efficiency Improvement",'4 Construction Scope'!J17,IF('4 Construction Scope'!D17="Eligible Soft Cost",'4 Construction Scope'!O17,IF('4 Construction Scope'!D17="Ancillary Measure – Required to Implement Energy Improvement",'4 Construction Scope'!N17,IF('4 Construction Scope'!D17="Ancillary Measure – Energy-Related Health and Safety",'4 Construction Scope'!N17,IF('4 Construction Scope'!D17="Prequalified Measure",'4 Construction Scope'!F17,""))))))</f>
        <v/>
      </c>
      <c r="F19" s="423"/>
      <c r="G19" s="425">
        <f>IF('4 Construction Scope'!V17&lt;&gt;"",'4 Construction Scope'!V17,"")</f>
        <v>0</v>
      </c>
      <c r="H19" s="426">
        <f>T19+U19</f>
        <v>0</v>
      </c>
      <c r="I19" s="427" t="str">
        <f>IFERROR(G19/H19,"")</f>
        <v/>
      </c>
      <c r="J19" s="35"/>
      <c r="K19" s="36"/>
      <c r="L19" s="36"/>
      <c r="M19" s="36"/>
      <c r="N19" s="54"/>
      <c r="O19" s="428">
        <f>(J19*Backup!$J$4+K19*Backup!$J$5+L19*Backup!$J$6+M19*Backup!$J$7+N19*Backup!$J$8)/1000</f>
        <v>0</v>
      </c>
      <c r="P19" s="428">
        <f>$J19*$H$6+$K19*Backup!$J$5/1000*$H$7+$L19*Backup!$J$6/1000*$H$8+$M19*Backup!$J$7/1000*$H$9+$N19*Backup!$J$8/1000*$H$10</f>
        <v>0</v>
      </c>
      <c r="Q19" s="428">
        <f>$J19*$J$6+$K19*Backup!$J$5/1000*$J$7+$L19*Backup!$J$6/1000*$J$8+$M19*Backup!$J$7/1000*$J$9+$N19*Backup!$J$8/1000*$J$10</f>
        <v>0</v>
      </c>
      <c r="R19" s="428">
        <f>$J19*$L$6+$K19*Backup!$J$5/1000*$L$7+$L19*Backup!$J$6/1000*$L$8+$M19*Backup!$J$7/1000*$L$9+$N19*Backup!$J$8/1000*$L$10</f>
        <v>0</v>
      </c>
      <c r="S19" s="428">
        <f>$J19*$N$6+$K19*Backup!$J$5/1000*$N$7+$L19*Backup!$J$6/1000*$N$8+$M19*Backup!$J$7/1000*$N$9+$N19*Backup!$J$8/1000*$N$10</f>
        <v>0</v>
      </c>
      <c r="T19" s="429">
        <f>(J19*$F$6)+(K19*$F$7)+(L19*$F$8)+(M19*$F$9)+(N19*$F$10)</f>
        <v>0</v>
      </c>
      <c r="U19" s="159"/>
      <c r="V19" s="34"/>
      <c r="W19" s="430"/>
      <c r="X19" s="431"/>
      <c r="Y19" s="432"/>
    </row>
    <row r="20" spans="2:25" x14ac:dyDescent="0.3">
      <c r="B20" s="433">
        <v>2</v>
      </c>
      <c r="C20" s="434" t="str">
        <f>IF('4 Construction Scope'!D18&lt;&gt;"",'4 Construction Scope'!D18,"")</f>
        <v/>
      </c>
      <c r="D20" s="435"/>
      <c r="E20" s="424" t="str">
        <f>IF('4 Construction Scope'!D18="Renewable Energy System",'4 Construction Scope'!L18,IF('4 Construction Scope'!D18="Energy Efficiency Improvement",'4 Construction Scope'!J18,IF('4 Construction Scope'!D18="Eligible Soft Cost",'4 Construction Scope'!O18,IF('4 Construction Scope'!D18="Ancillary Measure – Required to Implement Energy Improvement",'4 Construction Scope'!N18,IF('4 Construction Scope'!D18="Ancillary Measure – Energy-Related Health and Safety",'4 Construction Scope'!N18,IF('4 Construction Scope'!D18="Prequalified Measure",'4 Construction Scope'!F18,""))))))</f>
        <v/>
      </c>
      <c r="F20" s="423"/>
      <c r="G20" s="425">
        <f>IF('4 Construction Scope'!V18&lt;&gt;"",'4 Construction Scope'!V18,"")</f>
        <v>0</v>
      </c>
      <c r="H20" s="426">
        <f t="shared" ref="H20:H24" si="1">T20+U20</f>
        <v>0</v>
      </c>
      <c r="I20" s="427" t="str">
        <f t="shared" ref="I20:I68" si="2">IFERROR(G20/H20,"")</f>
        <v/>
      </c>
      <c r="J20" s="35"/>
      <c r="K20" s="35"/>
      <c r="L20" s="36"/>
      <c r="M20" s="35"/>
      <c r="N20" s="35"/>
      <c r="O20" s="428">
        <f>(J20*Backup!$J$4+K20*Backup!$J$5+L20*Backup!$J$6+M20*Backup!$J$7+N20*Backup!$J$8)/1000</f>
        <v>0</v>
      </c>
      <c r="P20" s="428">
        <f>$J20*$H$6+$K20*Backup!$J$5/1000*$H$7+$L20*Backup!$J$6/1000*$H$8+$M20*Backup!$J$7/1000*$H$9+$N20*Backup!$J$8/1000*$H$10</f>
        <v>0</v>
      </c>
      <c r="Q20" s="428">
        <f>$J20*$J$6+$K20*Backup!$J$5/1000*$J$7+$L20*Backup!$J$6/1000*$J$8+$M20*Backup!$J$7/1000*$J$9+$N20*Backup!$J$8/1000*$J$10</f>
        <v>0</v>
      </c>
      <c r="R20" s="428">
        <f>$J20*$L$6+$K20*Backup!$J$5/1000*$L$7+$L20*Backup!$J$6/1000*$L$8+$M20*Backup!$J$7/1000*$L$9+$N20*Backup!$J$8/1000*$L$10</f>
        <v>0</v>
      </c>
      <c r="S20" s="428">
        <f>$J20*$N$6+$K20*Backup!$J$5/1000*$N$7+$L20*Backup!$J$6/1000*$N$8+$M20*Backup!$J$7/1000*$N$9+$N20*Backup!$J$8/1000*$N$10</f>
        <v>0</v>
      </c>
      <c r="T20" s="429">
        <f t="shared" ref="T20:T68" si="3">(J20*$F$6)+(K20*$F$7)+(L20*$F$8)+(M20*$F$9)+(N20*$F$10)</f>
        <v>0</v>
      </c>
      <c r="U20" s="159"/>
      <c r="V20" s="34"/>
      <c r="W20" s="430"/>
      <c r="X20" s="431"/>
    </row>
    <row r="21" spans="2:25" x14ac:dyDescent="0.3">
      <c r="B21" s="433">
        <v>3</v>
      </c>
      <c r="C21" s="434" t="str">
        <f>IF('4 Construction Scope'!D19&lt;&gt;"",'4 Construction Scope'!D19,"")</f>
        <v/>
      </c>
      <c r="D21" s="435"/>
      <c r="E21" s="424" t="str">
        <f>IF('4 Construction Scope'!D19="Renewable Energy System",'4 Construction Scope'!L19,IF('4 Construction Scope'!D19="Energy Efficiency Improvement",'4 Construction Scope'!J19,IF('4 Construction Scope'!D19="Eligible Soft Cost",'4 Construction Scope'!O19,IF('4 Construction Scope'!D19="Ancillary Measure – Required to Implement Energy Improvement",'4 Construction Scope'!N19,IF('4 Construction Scope'!D19="Ancillary Measure – Energy-Related Health and Safety",'4 Construction Scope'!N19,IF('4 Construction Scope'!D19="Prequalified Measure",'4 Construction Scope'!F19,""))))))</f>
        <v/>
      </c>
      <c r="F21" s="423"/>
      <c r="G21" s="425">
        <f>IF('4 Construction Scope'!V19&lt;&gt;"",'4 Construction Scope'!V19,"")</f>
        <v>0</v>
      </c>
      <c r="H21" s="426">
        <f t="shared" si="1"/>
        <v>0</v>
      </c>
      <c r="I21" s="427" t="str">
        <f>IFERROR(G21/H21,"")</f>
        <v/>
      </c>
      <c r="J21" s="35"/>
      <c r="K21" s="35"/>
      <c r="L21" s="36"/>
      <c r="M21" s="35"/>
      <c r="N21" s="35"/>
      <c r="O21" s="428">
        <f>(J21*Backup!$J$4+K21*Backup!$J$5+L21*Backup!$J$6+M21*Backup!$J$7+N21*Backup!$J$8)/1000</f>
        <v>0</v>
      </c>
      <c r="P21" s="428">
        <f>$J21*$H$6+$K21*Backup!$J$5/1000*$H$7+$L21*Backup!$J$6/1000*$H$8+$M21*Backup!$J$7/1000*$H$9+$N21*Backup!$J$8/1000*$H$10</f>
        <v>0</v>
      </c>
      <c r="Q21" s="428">
        <f>$J21*$J$6+$K21*Backup!$J$5/1000*$J$7+$L21*Backup!$J$6/1000*$J$8+$M21*Backup!$J$7/1000*$J$9+$N21*Backup!$J$8/1000*$J$10</f>
        <v>0</v>
      </c>
      <c r="R21" s="428">
        <f>$J21*$L$6+$K21*Backup!$J$5/1000*$L$7+$L21*Backup!$J$6/1000*$L$8+$M21*Backup!$J$7/1000*$L$9+$N21*Backup!$J$8/1000*$L$10</f>
        <v>0</v>
      </c>
      <c r="S21" s="428">
        <f>$J21*$N$6+$K21*Backup!$J$5/1000*$N$7+$L21*Backup!$J$6/1000*$N$8+$M21*Backup!$J$7/1000*$N$9+$N21*Backup!$J$8/1000*$N$10</f>
        <v>0</v>
      </c>
      <c r="T21" s="429">
        <f t="shared" si="3"/>
        <v>0</v>
      </c>
      <c r="U21" s="159"/>
      <c r="V21" s="34"/>
      <c r="W21" s="430"/>
      <c r="X21" s="431"/>
    </row>
    <row r="22" spans="2:25" x14ac:dyDescent="0.3">
      <c r="B22" s="433">
        <v>4</v>
      </c>
      <c r="C22" s="434" t="str">
        <f>IF('4 Construction Scope'!D20&lt;&gt;"",'4 Construction Scope'!D20,"")</f>
        <v/>
      </c>
      <c r="D22" s="435"/>
      <c r="E22" s="424" t="str">
        <f>IF('4 Construction Scope'!D20="Renewable Energy System",'4 Construction Scope'!L20,IF('4 Construction Scope'!D20="Energy Efficiency Improvement",'4 Construction Scope'!J20,IF('4 Construction Scope'!D20="Eligible Soft Cost",'4 Construction Scope'!O20,IF('4 Construction Scope'!D20="Ancillary Measure – Required to Implement Energy Improvement",'4 Construction Scope'!N20,IF('4 Construction Scope'!D20="Ancillary Measure – Energy-Related Health and Safety",'4 Construction Scope'!N20,IF('4 Construction Scope'!D20="Prequalified Measure",'4 Construction Scope'!F20,""))))))</f>
        <v/>
      </c>
      <c r="F22" s="423"/>
      <c r="G22" s="425">
        <f>IF('4 Construction Scope'!V20&lt;&gt;"",'4 Construction Scope'!V20,"")</f>
        <v>0</v>
      </c>
      <c r="H22" s="426">
        <f t="shared" si="1"/>
        <v>0</v>
      </c>
      <c r="I22" s="427" t="str">
        <f t="shared" si="2"/>
        <v/>
      </c>
      <c r="J22" s="35"/>
      <c r="K22" s="35"/>
      <c r="L22" s="36"/>
      <c r="M22" s="35"/>
      <c r="N22" s="35"/>
      <c r="O22" s="428">
        <f>(J22*Backup!$J$4+K22*Backup!$J$5+L22*Backup!$J$6+M22*Backup!$J$7+N22*Backup!$J$8)/1000</f>
        <v>0</v>
      </c>
      <c r="P22" s="428">
        <f>$J22*$H$6+$K22*Backup!$J$5/1000*$H$7+$L22*Backup!$J$6/1000*$H$8+$M22*Backup!$J$7/1000*$H$9+$N22*Backup!$J$8/1000*$H$10</f>
        <v>0</v>
      </c>
      <c r="Q22" s="428">
        <f>$J22*$J$6+$K22*Backup!$J$5/1000*$J$7+$L22*Backup!$J$6/1000*$J$8+$M22*Backup!$J$7/1000*$J$9+$N22*Backup!$J$8/1000*$J$10</f>
        <v>0</v>
      </c>
      <c r="R22" s="428">
        <f>$J22*$L$6+$K22*Backup!$J$5/1000*$L$7+$L22*Backup!$J$6/1000*$L$8+$M22*Backup!$J$7/1000*$L$9+$N22*Backup!$J$8/1000*$L$10</f>
        <v>0</v>
      </c>
      <c r="S22" s="428">
        <f>$J22*$N$6+$K22*Backup!$J$5/1000*$N$7+$L22*Backup!$J$6/1000*$N$8+$M22*Backup!$J$7/1000*$N$9+$N22*Backup!$J$8/1000*$N$10</f>
        <v>0</v>
      </c>
      <c r="T22" s="429">
        <f t="shared" si="3"/>
        <v>0</v>
      </c>
      <c r="U22" s="159"/>
      <c r="V22" s="34"/>
      <c r="W22" s="430"/>
      <c r="X22" s="431"/>
    </row>
    <row r="23" spans="2:25" x14ac:dyDescent="0.3">
      <c r="B23" s="433">
        <v>5</v>
      </c>
      <c r="C23" s="434" t="str">
        <f>IF('4 Construction Scope'!D21&lt;&gt;"",'4 Construction Scope'!D21,"")</f>
        <v/>
      </c>
      <c r="D23" s="435"/>
      <c r="E23" s="424" t="str">
        <f>IF('4 Construction Scope'!D21="Renewable Energy System",'4 Construction Scope'!L21,IF('4 Construction Scope'!D21="Energy Efficiency Improvement",'4 Construction Scope'!J21,IF('4 Construction Scope'!D21="Eligible Soft Cost",'4 Construction Scope'!O21,IF('4 Construction Scope'!D21="Ancillary Measure – Required to Implement Energy Improvement",'4 Construction Scope'!N21,IF('4 Construction Scope'!D21="Ancillary Measure – Energy-Related Health and Safety",'4 Construction Scope'!N21,IF('4 Construction Scope'!D21="Prequalified Measure",'4 Construction Scope'!F21,""))))))</f>
        <v/>
      </c>
      <c r="F23" s="423"/>
      <c r="G23" s="425">
        <f>IF('4 Construction Scope'!V21&lt;&gt;"",'4 Construction Scope'!V21,"")</f>
        <v>0</v>
      </c>
      <c r="H23" s="426">
        <f t="shared" si="1"/>
        <v>0</v>
      </c>
      <c r="I23" s="427" t="str">
        <f t="shared" si="2"/>
        <v/>
      </c>
      <c r="J23" s="35"/>
      <c r="K23" s="35"/>
      <c r="L23" s="36"/>
      <c r="M23" s="35"/>
      <c r="N23" s="35"/>
      <c r="O23" s="428">
        <f>(J23*Backup!$J$4+K23*Backup!$J$5+L23*Backup!$J$6+M23*Backup!$J$7+N23*Backup!$J$8)/1000</f>
        <v>0</v>
      </c>
      <c r="P23" s="428">
        <f>$J23*$H$6+$K23*Backup!$J$5/1000*$H$7+$L23*Backup!$J$6/1000*$H$8+$M23*Backup!$J$7/1000*$H$9+$N23*Backup!$J$8/1000*$H$10</f>
        <v>0</v>
      </c>
      <c r="Q23" s="428">
        <f>$J23*$J$6+$K23*Backup!$J$5/1000*$J$7+$L23*Backup!$J$6/1000*$J$8+$M23*Backup!$J$7/1000*$J$9+$N23*Backup!$J$8/1000*$J$10</f>
        <v>0</v>
      </c>
      <c r="R23" s="428">
        <f>$J23*$L$6+$K23*Backup!$J$5/1000*$L$7+$L23*Backup!$J$6/1000*$L$8+$M23*Backup!$J$7/1000*$L$9+$N23*Backup!$J$8/1000*$L$10</f>
        <v>0</v>
      </c>
      <c r="S23" s="428">
        <f>$J23*$N$6+$K23*Backup!$J$5/1000*$N$7+$L23*Backup!$J$6/1000*$N$8+$M23*Backup!$J$7/1000*$N$9+$N23*Backup!$J$8/1000*$N$10</f>
        <v>0</v>
      </c>
      <c r="T23" s="429">
        <f t="shared" si="3"/>
        <v>0</v>
      </c>
      <c r="U23" s="159"/>
      <c r="V23" s="34"/>
      <c r="W23" s="430"/>
      <c r="X23" s="431"/>
    </row>
    <row r="24" spans="2:25" ht="14.1" customHeight="1" x14ac:dyDescent="0.3">
      <c r="B24" s="433">
        <v>6</v>
      </c>
      <c r="C24" s="434" t="str">
        <f>IF('4 Construction Scope'!D22&lt;&gt;"",'4 Construction Scope'!D22,"")</f>
        <v/>
      </c>
      <c r="D24" s="435"/>
      <c r="E24" s="424" t="str">
        <f>IF('4 Construction Scope'!D22="Renewable Energy System",'4 Construction Scope'!L22,IF('4 Construction Scope'!D22="Energy Efficiency Improvement",'4 Construction Scope'!J22,IF('4 Construction Scope'!D22="Eligible Soft Cost",'4 Construction Scope'!O22,IF('4 Construction Scope'!D22="Ancillary Measure – Required to Implement Energy Improvement",'4 Construction Scope'!N22,IF('4 Construction Scope'!D22="Ancillary Measure – Energy-Related Health and Safety",'4 Construction Scope'!N22,IF('4 Construction Scope'!D22="Prequalified Measure",'4 Construction Scope'!F22,""))))))</f>
        <v/>
      </c>
      <c r="F24" s="423"/>
      <c r="G24" s="425">
        <f>IF('4 Construction Scope'!V22&lt;&gt;"",'4 Construction Scope'!V22,"")</f>
        <v>0</v>
      </c>
      <c r="H24" s="426">
        <f t="shared" si="1"/>
        <v>0</v>
      </c>
      <c r="I24" s="427" t="str">
        <f t="shared" si="2"/>
        <v/>
      </c>
      <c r="J24" s="35"/>
      <c r="K24" s="35"/>
      <c r="L24" s="36"/>
      <c r="M24" s="35"/>
      <c r="N24" s="35"/>
      <c r="O24" s="428">
        <f>(J24*Backup!$J$4+K24*Backup!$J$5+L24*Backup!$J$6+M24*Backup!$J$7+N24*Backup!$J$8)/1000</f>
        <v>0</v>
      </c>
      <c r="P24" s="428">
        <f>$J24*$H$6+$K24*Backup!$J$5/1000*$H$7+$L24*Backup!$J$6/1000*$H$8+$M24*Backup!$J$7/1000*$H$9+$N24*Backup!$J$8/1000*$H$10</f>
        <v>0</v>
      </c>
      <c r="Q24" s="428">
        <f>$J24*$J$6+$K24*Backup!$J$5/1000*$J$7+$L24*Backup!$J$6/1000*$J$8+$M24*Backup!$J$7/1000*$J$9+$N24*Backup!$J$8/1000*$J$10</f>
        <v>0</v>
      </c>
      <c r="R24" s="428">
        <f>$J24*$L$6+$K24*Backup!$J$5/1000*$L$7+$L24*Backup!$J$6/1000*$L$8+$M24*Backup!$J$7/1000*$L$9+$N24*Backup!$J$8/1000*$L$10</f>
        <v>0</v>
      </c>
      <c r="S24" s="428">
        <f>$J24*$N$6+$K24*Backup!$J$5/1000*$N$7+$L24*Backup!$J$6/1000*$N$8+$M24*Backup!$J$7/1000*$N$9+$N24*Backup!$J$8/1000*$N$10</f>
        <v>0</v>
      </c>
      <c r="T24" s="429">
        <f t="shared" si="3"/>
        <v>0</v>
      </c>
      <c r="U24" s="159"/>
      <c r="V24" s="34"/>
    </row>
    <row r="25" spans="2:25" ht="15" customHeight="1" x14ac:dyDescent="0.3">
      <c r="B25" s="433">
        <v>7</v>
      </c>
      <c r="C25" s="434" t="str">
        <f>IF('4 Construction Scope'!D23&lt;&gt;"",'4 Construction Scope'!D23,"")</f>
        <v/>
      </c>
      <c r="D25" s="435"/>
      <c r="E25" s="424" t="str">
        <f>IF('4 Construction Scope'!D23="Renewable Energy System",'4 Construction Scope'!L23,IF('4 Construction Scope'!D23="Energy Efficiency Improvement",'4 Construction Scope'!J23,IF('4 Construction Scope'!D23="Eligible Soft Cost",'4 Construction Scope'!O23,IF('4 Construction Scope'!D23="Ancillary Measure – Required to Implement Energy Improvement",'4 Construction Scope'!N23,IF('4 Construction Scope'!D23="Ancillary Measure – Energy-Related Health and Safety",'4 Construction Scope'!N23,IF('4 Construction Scope'!D23="Prequalified Measure",'4 Construction Scope'!F23,""))))))</f>
        <v/>
      </c>
      <c r="F25" s="423"/>
      <c r="G25" s="425">
        <f>IF('4 Construction Scope'!V23&lt;&gt;"",'4 Construction Scope'!V23,"")</f>
        <v>0</v>
      </c>
      <c r="H25" s="426">
        <f t="shared" ref="H25:H50" si="4">T25+U25</f>
        <v>0</v>
      </c>
      <c r="I25" s="427" t="str">
        <f t="shared" si="2"/>
        <v/>
      </c>
      <c r="J25" s="35"/>
      <c r="K25" s="35"/>
      <c r="L25" s="36"/>
      <c r="M25" s="35"/>
      <c r="N25" s="35"/>
      <c r="O25" s="428">
        <f>(J25*Backup!$J$4+K25*Backup!$J$5+L25*Backup!$J$6+M25*Backup!$J$7+N25*Backup!$J$8)/1000</f>
        <v>0</v>
      </c>
      <c r="P25" s="428">
        <f>$J25*$H$6+$K25*Backup!$J$5/1000*$H$7+$L25*Backup!$J$6/1000*$H$8+$M25*Backup!$J$7/1000*$H$9+$N25*Backup!$J$8/1000*$H$10</f>
        <v>0</v>
      </c>
      <c r="Q25" s="428">
        <f>$J25*$J$6+$K25*Backup!$J$5/1000*$J$7+$L25*Backup!$J$6/1000*$J$8+$M25*Backup!$J$7/1000*$J$9+$N25*Backup!$J$8/1000*$J$10</f>
        <v>0</v>
      </c>
      <c r="R25" s="428">
        <f>$J25*$L$6+$K25*Backup!$J$5/1000*$L$7+$L25*Backup!$J$6/1000*$L$8+$M25*Backup!$J$7/1000*$L$9+$N25*Backup!$J$8/1000*$L$10</f>
        <v>0</v>
      </c>
      <c r="S25" s="428">
        <f>$J25*$N$6+$K25*Backup!$J$5/1000*$N$7+$L25*Backup!$J$6/1000*$N$8+$M25*Backup!$J$7/1000*$N$9+$N25*Backup!$J$8/1000*$N$10</f>
        <v>0</v>
      </c>
      <c r="T25" s="429">
        <f t="shared" si="3"/>
        <v>0</v>
      </c>
      <c r="U25" s="159"/>
      <c r="V25" s="34"/>
    </row>
    <row r="26" spans="2:25" x14ac:dyDescent="0.3">
      <c r="B26" s="433">
        <v>8</v>
      </c>
      <c r="C26" s="434" t="str">
        <f>IF('4 Construction Scope'!D24&lt;&gt;"",'4 Construction Scope'!D24,"")</f>
        <v/>
      </c>
      <c r="D26" s="435"/>
      <c r="E26" s="424" t="str">
        <f>IF('4 Construction Scope'!D24="Renewable Energy System",'4 Construction Scope'!L24,IF('4 Construction Scope'!D24="Energy Efficiency Improvement",'4 Construction Scope'!J24,IF('4 Construction Scope'!D24="Eligible Soft Cost",'4 Construction Scope'!O24,IF('4 Construction Scope'!D24="Ancillary Measure – Required to Implement Energy Improvement",'4 Construction Scope'!N24,IF('4 Construction Scope'!D24="Ancillary Measure – Energy-Related Health and Safety",'4 Construction Scope'!N24,IF('4 Construction Scope'!D24="Prequalified Measure",'4 Construction Scope'!F24,""))))))</f>
        <v/>
      </c>
      <c r="F26" s="423"/>
      <c r="G26" s="425">
        <f>IF('4 Construction Scope'!V24&lt;&gt;"",'4 Construction Scope'!V24,"")</f>
        <v>0</v>
      </c>
      <c r="H26" s="426">
        <f t="shared" si="4"/>
        <v>0</v>
      </c>
      <c r="I26" s="427" t="str">
        <f t="shared" si="2"/>
        <v/>
      </c>
      <c r="J26" s="35"/>
      <c r="K26" s="35"/>
      <c r="L26" s="36"/>
      <c r="M26" s="35"/>
      <c r="N26" s="35"/>
      <c r="O26" s="428">
        <f>(J26*Backup!$J$4+K26*Backup!$J$5+L26*Backup!$J$6+M26*Backup!$J$7+N26*Backup!$J$8)/1000</f>
        <v>0</v>
      </c>
      <c r="P26" s="428">
        <f>$J26*$H$6+$K26*Backup!$J$5/1000*$H$7+$L26*Backup!$J$6/1000*$H$8+$M26*Backup!$J$7/1000*$H$9+$N26*Backup!$J$8/1000*$H$10</f>
        <v>0</v>
      </c>
      <c r="Q26" s="428">
        <f>$J26*$J$6+$K26*Backup!$J$5/1000*$J$7+$L26*Backup!$J$6/1000*$J$8+$M26*Backup!$J$7/1000*$J$9+$N26*Backup!$J$8/1000*$J$10</f>
        <v>0</v>
      </c>
      <c r="R26" s="428">
        <f>$J26*$L$6+$K26*Backup!$J$5/1000*$L$7+$L26*Backup!$J$6/1000*$L$8+$M26*Backup!$J$7/1000*$L$9+$N26*Backup!$J$8/1000*$L$10</f>
        <v>0</v>
      </c>
      <c r="S26" s="428">
        <f>$J26*$N$6+$K26*Backup!$J$5/1000*$N$7+$L26*Backup!$J$6/1000*$N$8+$M26*Backup!$J$7/1000*$N$9+$N26*Backup!$J$8/1000*$N$10</f>
        <v>0</v>
      </c>
      <c r="T26" s="429">
        <f t="shared" si="3"/>
        <v>0</v>
      </c>
      <c r="U26" s="159"/>
      <c r="V26" s="34"/>
    </row>
    <row r="27" spans="2:25" x14ac:dyDescent="0.3">
      <c r="B27" s="433">
        <v>9</v>
      </c>
      <c r="C27" s="434" t="str">
        <f>IF('4 Construction Scope'!D25&lt;&gt;"",'4 Construction Scope'!D25,"")</f>
        <v/>
      </c>
      <c r="D27" s="435"/>
      <c r="E27" s="424" t="str">
        <f>IF('4 Construction Scope'!D25="Renewable Energy System",'4 Construction Scope'!L25,IF('4 Construction Scope'!D25="Energy Efficiency Improvement",'4 Construction Scope'!J25,IF('4 Construction Scope'!D25="Eligible Soft Cost",'4 Construction Scope'!O25,IF('4 Construction Scope'!D25="Ancillary Measure – Required to Implement Energy Improvement",'4 Construction Scope'!N25,IF('4 Construction Scope'!D25="Ancillary Measure – Energy-Related Health and Safety",'4 Construction Scope'!N25,IF('4 Construction Scope'!D25="Prequalified Measure",'4 Construction Scope'!F25,""))))))</f>
        <v/>
      </c>
      <c r="F27" s="423"/>
      <c r="G27" s="425">
        <f>IF('4 Construction Scope'!V25&lt;&gt;"",'4 Construction Scope'!V25,"")</f>
        <v>0</v>
      </c>
      <c r="H27" s="426">
        <f t="shared" si="4"/>
        <v>0</v>
      </c>
      <c r="I27" s="427" t="str">
        <f t="shared" si="2"/>
        <v/>
      </c>
      <c r="J27" s="35"/>
      <c r="K27" s="35"/>
      <c r="L27" s="36"/>
      <c r="M27" s="35"/>
      <c r="N27" s="35"/>
      <c r="O27" s="428">
        <f>(J27*Backup!$J$4+K27*Backup!$J$5+L27*Backup!$J$6+M27*Backup!$J$7+N27*Backup!$J$8)/1000</f>
        <v>0</v>
      </c>
      <c r="P27" s="428">
        <f>$J27*$H$6+$K27*Backup!$J$5/1000*$H$7+$L27*Backup!$J$6/1000*$H$8+$M27*Backup!$J$7/1000*$H$9+$N27*Backup!$J$8/1000*$H$10</f>
        <v>0</v>
      </c>
      <c r="Q27" s="428">
        <f>$J27*$J$6+$K27*Backup!$J$5/1000*$J$7+$L27*Backup!$J$6/1000*$J$8+$M27*Backup!$J$7/1000*$J$9+$N27*Backup!$J$8/1000*$J$10</f>
        <v>0</v>
      </c>
      <c r="R27" s="428">
        <f>$J27*$L$6+$K27*Backup!$J$5/1000*$L$7+$L27*Backup!$J$6/1000*$L$8+$M27*Backup!$J$7/1000*$L$9+$N27*Backup!$J$8/1000*$L$10</f>
        <v>0</v>
      </c>
      <c r="S27" s="428">
        <f>$J27*$N$6+$K27*Backup!$J$5/1000*$N$7+$L27*Backup!$J$6/1000*$N$8+$M27*Backup!$J$7/1000*$N$9+$N27*Backup!$J$8/1000*$N$10</f>
        <v>0</v>
      </c>
      <c r="T27" s="429">
        <f t="shared" si="3"/>
        <v>0</v>
      </c>
      <c r="U27" s="159"/>
      <c r="V27" s="34"/>
    </row>
    <row r="28" spans="2:25" x14ac:dyDescent="0.3">
      <c r="B28" s="433">
        <v>10</v>
      </c>
      <c r="C28" s="434" t="str">
        <f>IF('4 Construction Scope'!D26&lt;&gt;"",'4 Construction Scope'!D26,"")</f>
        <v/>
      </c>
      <c r="D28" s="435"/>
      <c r="E28" s="424" t="str">
        <f>IF('4 Construction Scope'!D26="Renewable Energy System",'4 Construction Scope'!L26,IF('4 Construction Scope'!D26="Energy Efficiency Improvement",'4 Construction Scope'!J26,IF('4 Construction Scope'!D26="Eligible Soft Cost",'4 Construction Scope'!O26,IF('4 Construction Scope'!D26="Ancillary Measure – Required to Implement Energy Improvement",'4 Construction Scope'!N26,IF('4 Construction Scope'!D26="Ancillary Measure – Energy-Related Health and Safety",'4 Construction Scope'!N26,IF('4 Construction Scope'!D26="Prequalified Measure",'4 Construction Scope'!F26,""))))))</f>
        <v/>
      </c>
      <c r="F28" s="423"/>
      <c r="G28" s="425">
        <f>IF('4 Construction Scope'!V26&lt;&gt;"",'4 Construction Scope'!V26,"")</f>
        <v>0</v>
      </c>
      <c r="H28" s="426">
        <f t="shared" si="4"/>
        <v>0</v>
      </c>
      <c r="I28" s="427" t="str">
        <f t="shared" si="2"/>
        <v/>
      </c>
      <c r="J28" s="35"/>
      <c r="K28" s="35"/>
      <c r="L28" s="36"/>
      <c r="M28" s="35"/>
      <c r="N28" s="35"/>
      <c r="O28" s="428">
        <f>(J28*Backup!$J$4+K28*Backup!$J$5+L28*Backup!$J$6+M28*Backup!$J$7+N28*Backup!$J$8)/1000</f>
        <v>0</v>
      </c>
      <c r="P28" s="428">
        <f>$J28*$H$6+$K28*Backup!$J$5/1000*$H$7+$L28*Backup!$J$6/1000*$H$8+$M28*Backup!$J$7/1000*$H$9+$N28*Backup!$J$8/1000*$H$10</f>
        <v>0</v>
      </c>
      <c r="Q28" s="428">
        <f>$J28*$J$6+$K28*Backup!$J$5/1000*$J$7+$L28*Backup!$J$6/1000*$J$8+$M28*Backup!$J$7/1000*$J$9+$N28*Backup!$J$8/1000*$J$10</f>
        <v>0</v>
      </c>
      <c r="R28" s="428">
        <f>$J28*$L$6+$K28*Backup!$J$5/1000*$L$7+$L28*Backup!$J$6/1000*$L$8+$M28*Backup!$J$7/1000*$L$9+$N28*Backup!$J$8/1000*$L$10</f>
        <v>0</v>
      </c>
      <c r="S28" s="428">
        <f>$J28*$N$6+$K28*Backup!$J$5/1000*$N$7+$L28*Backup!$J$6/1000*$N$8+$M28*Backup!$J$7/1000*$N$9+$N28*Backup!$J$8/1000*$N$10</f>
        <v>0</v>
      </c>
      <c r="T28" s="429">
        <f t="shared" si="3"/>
        <v>0</v>
      </c>
      <c r="U28" s="159"/>
      <c r="V28" s="34"/>
    </row>
    <row r="29" spans="2:25" x14ac:dyDescent="0.3">
      <c r="B29" s="433">
        <v>11</v>
      </c>
      <c r="C29" s="434" t="str">
        <f>IF('4 Construction Scope'!D27&lt;&gt;"",'4 Construction Scope'!D27,"")</f>
        <v/>
      </c>
      <c r="D29" s="435"/>
      <c r="E29" s="424" t="str">
        <f>IF('4 Construction Scope'!D27="Renewable Energy System",'4 Construction Scope'!L27,IF('4 Construction Scope'!D27="Energy Efficiency Improvement",'4 Construction Scope'!J27,IF('4 Construction Scope'!D27="Eligible Soft Cost",'4 Construction Scope'!O27,IF('4 Construction Scope'!D27="Ancillary Measure – Required to Implement Energy Improvement",'4 Construction Scope'!N27,IF('4 Construction Scope'!D27="Ancillary Measure – Energy-Related Health and Safety",'4 Construction Scope'!N27,IF('4 Construction Scope'!D27="Prequalified Measure",'4 Construction Scope'!F27,""))))))</f>
        <v/>
      </c>
      <c r="F29" s="423"/>
      <c r="G29" s="425">
        <f>IF('4 Construction Scope'!V27&lt;&gt;"",'4 Construction Scope'!V27,"")</f>
        <v>0</v>
      </c>
      <c r="H29" s="426">
        <f t="shared" si="4"/>
        <v>0</v>
      </c>
      <c r="I29" s="427" t="str">
        <f t="shared" si="2"/>
        <v/>
      </c>
      <c r="J29" s="35"/>
      <c r="K29" s="35"/>
      <c r="L29" s="36"/>
      <c r="M29" s="35"/>
      <c r="N29" s="35"/>
      <c r="O29" s="428">
        <f>(J29*Backup!$J$4+K29*Backup!$J$5+L29*Backup!$J$6+M29*Backup!$J$7+N29*Backup!$J$8)/1000</f>
        <v>0</v>
      </c>
      <c r="P29" s="428">
        <f>$J29*$H$6+$K29*Backup!$J$5/1000*$H$7+$L29*Backup!$J$6/1000*$H$8+$M29*Backup!$J$7/1000*$H$9+$N29*Backup!$J$8/1000*$H$10</f>
        <v>0</v>
      </c>
      <c r="Q29" s="428">
        <f>$J29*$J$6+$K29*Backup!$J$5/1000*$J$7+$L29*Backup!$J$6/1000*$J$8+$M29*Backup!$J$7/1000*$J$9+$N29*Backup!$J$8/1000*$J$10</f>
        <v>0</v>
      </c>
      <c r="R29" s="428">
        <f>$J29*$L$6+$K29*Backup!$J$5/1000*$L$7+$L29*Backup!$J$6/1000*$L$8+$M29*Backup!$J$7/1000*$L$9+$N29*Backup!$J$8/1000*$L$10</f>
        <v>0</v>
      </c>
      <c r="S29" s="428">
        <f>$J29*$N$6+$K29*Backup!$J$5/1000*$N$7+$L29*Backup!$J$6/1000*$N$8+$M29*Backup!$J$7/1000*$N$9+$N29*Backup!$J$8/1000*$N$10</f>
        <v>0</v>
      </c>
      <c r="T29" s="429">
        <f t="shared" si="3"/>
        <v>0</v>
      </c>
      <c r="U29" s="159"/>
      <c r="V29" s="34"/>
    </row>
    <row r="30" spans="2:25" x14ac:dyDescent="0.3">
      <c r="B30" s="433">
        <v>12</v>
      </c>
      <c r="C30" s="434" t="str">
        <f>IF('4 Construction Scope'!D28&lt;&gt;"",'4 Construction Scope'!D28,"")</f>
        <v/>
      </c>
      <c r="D30" s="435"/>
      <c r="E30" s="424" t="str">
        <f>IF('4 Construction Scope'!D28="Renewable Energy System",'4 Construction Scope'!L28,IF('4 Construction Scope'!D28="Energy Efficiency Improvement",'4 Construction Scope'!J28,IF('4 Construction Scope'!D28="Eligible Soft Cost",'4 Construction Scope'!O28,IF('4 Construction Scope'!D28="Ancillary Measure – Required to Implement Energy Improvement",'4 Construction Scope'!N28,IF('4 Construction Scope'!D28="Ancillary Measure – Energy-Related Health and Safety",'4 Construction Scope'!N28,IF('4 Construction Scope'!D28="Prequalified Measure",'4 Construction Scope'!F28,""))))))</f>
        <v/>
      </c>
      <c r="F30" s="423"/>
      <c r="G30" s="425">
        <f>IF('4 Construction Scope'!V28&lt;&gt;"",'4 Construction Scope'!V28,"")</f>
        <v>0</v>
      </c>
      <c r="H30" s="426">
        <f t="shared" si="4"/>
        <v>0</v>
      </c>
      <c r="I30" s="427" t="str">
        <f t="shared" si="2"/>
        <v/>
      </c>
      <c r="J30" s="35"/>
      <c r="K30" s="35"/>
      <c r="L30" s="36"/>
      <c r="M30" s="35"/>
      <c r="N30" s="35"/>
      <c r="O30" s="428">
        <f>(J30*Backup!$J$4+K30*Backup!$J$5+L30*Backup!$J$6+M30*Backup!$J$7+N30*Backup!$J$8)/1000</f>
        <v>0</v>
      </c>
      <c r="P30" s="428">
        <f>$J30*$H$6+$K30*Backup!$J$5/1000*$H$7+$L30*Backup!$J$6/1000*$H$8+$M30*Backup!$J$7/1000*$H$9+$N30*Backup!$J$8/1000*$H$10</f>
        <v>0</v>
      </c>
      <c r="Q30" s="428">
        <f>$J30*$J$6+$K30*Backup!$J$5/1000*$J$7+$L30*Backup!$J$6/1000*$J$8+$M30*Backup!$J$7/1000*$J$9+$N30*Backup!$J$8/1000*$J$10</f>
        <v>0</v>
      </c>
      <c r="R30" s="428">
        <f>$J30*$L$6+$K30*Backup!$J$5/1000*$L$7+$L30*Backup!$J$6/1000*$L$8+$M30*Backup!$J$7/1000*$L$9+$N30*Backup!$J$8/1000*$L$10</f>
        <v>0</v>
      </c>
      <c r="S30" s="428">
        <f>$J30*$N$6+$K30*Backup!$J$5/1000*$N$7+$L30*Backup!$J$6/1000*$N$8+$M30*Backup!$J$7/1000*$N$9+$N30*Backup!$J$8/1000*$N$10</f>
        <v>0</v>
      </c>
      <c r="T30" s="429">
        <f t="shared" si="3"/>
        <v>0</v>
      </c>
      <c r="U30" s="159"/>
      <c r="V30" s="34"/>
    </row>
    <row r="31" spans="2:25" x14ac:dyDescent="0.3">
      <c r="B31" s="433">
        <v>13</v>
      </c>
      <c r="C31" s="434" t="str">
        <f>IF('4 Construction Scope'!D29&lt;&gt;"",'4 Construction Scope'!D29,"")</f>
        <v/>
      </c>
      <c r="D31" s="435"/>
      <c r="E31" s="424" t="str">
        <f>IF('4 Construction Scope'!D29="Renewable Energy System",'4 Construction Scope'!L29,IF('4 Construction Scope'!D29="Energy Efficiency Improvement",'4 Construction Scope'!J29,IF('4 Construction Scope'!D29="Eligible Soft Cost",'4 Construction Scope'!O29,IF('4 Construction Scope'!D29="Ancillary Measure – Required to Implement Energy Improvement",'4 Construction Scope'!N29,IF('4 Construction Scope'!D29="Ancillary Measure – Energy-Related Health and Safety",'4 Construction Scope'!N29,IF('4 Construction Scope'!D29="Prequalified Measure",'4 Construction Scope'!F29,""))))))</f>
        <v/>
      </c>
      <c r="F31" s="423"/>
      <c r="G31" s="425">
        <f>IF('4 Construction Scope'!V29&lt;&gt;"",'4 Construction Scope'!V29,"")</f>
        <v>0</v>
      </c>
      <c r="H31" s="426">
        <f t="shared" si="4"/>
        <v>0</v>
      </c>
      <c r="I31" s="427" t="str">
        <f t="shared" si="2"/>
        <v/>
      </c>
      <c r="J31" s="35"/>
      <c r="K31" s="35"/>
      <c r="L31" s="36"/>
      <c r="M31" s="35"/>
      <c r="N31" s="35"/>
      <c r="O31" s="428">
        <f>(J31*Backup!$J$4+K31*Backup!$J$5+L31*Backup!$J$6+M31*Backup!$J$7+N31*Backup!$J$8)/1000</f>
        <v>0</v>
      </c>
      <c r="P31" s="428">
        <f>$J31*$H$6+$K31*Backup!$J$5/1000*$H$7+$L31*Backup!$J$6/1000*$H$8+$M31*Backup!$J$7/1000*$H$9+$N31*Backup!$J$8/1000*$H$10</f>
        <v>0</v>
      </c>
      <c r="Q31" s="428">
        <f>$J31*$J$6+$K31*Backup!$J$5/1000*$J$7+$L31*Backup!$J$6/1000*$J$8+$M31*Backup!$J$7/1000*$J$9+$N31*Backup!$J$8/1000*$J$10</f>
        <v>0</v>
      </c>
      <c r="R31" s="428">
        <f>$J31*$L$6+$K31*Backup!$J$5/1000*$L$7+$L31*Backup!$J$6/1000*$L$8+$M31*Backup!$J$7/1000*$L$9+$N31*Backup!$J$8/1000*$L$10</f>
        <v>0</v>
      </c>
      <c r="S31" s="428">
        <f>$J31*$N$6+$K31*Backup!$J$5/1000*$N$7+$L31*Backup!$J$6/1000*$N$8+$M31*Backup!$J$7/1000*$N$9+$N31*Backup!$J$8/1000*$N$10</f>
        <v>0</v>
      </c>
      <c r="T31" s="429">
        <f t="shared" si="3"/>
        <v>0</v>
      </c>
      <c r="U31" s="159"/>
      <c r="V31" s="34"/>
    </row>
    <row r="32" spans="2:25" x14ac:dyDescent="0.3">
      <c r="B32" s="433">
        <v>14</v>
      </c>
      <c r="C32" s="434" t="str">
        <f>IF('4 Construction Scope'!D30&lt;&gt;"",'4 Construction Scope'!D30,"")</f>
        <v/>
      </c>
      <c r="D32" s="435"/>
      <c r="E32" s="424" t="str">
        <f>IF('4 Construction Scope'!D30="Renewable Energy System",'4 Construction Scope'!L30,IF('4 Construction Scope'!D30="Energy Efficiency Improvement",'4 Construction Scope'!J30,IF('4 Construction Scope'!D30="Eligible Soft Cost",'4 Construction Scope'!O30,IF('4 Construction Scope'!D30="Ancillary Measure – Required to Implement Energy Improvement",'4 Construction Scope'!N30,IF('4 Construction Scope'!D30="Ancillary Measure – Energy-Related Health and Safety",'4 Construction Scope'!N30,IF('4 Construction Scope'!D30="Prequalified Measure",'4 Construction Scope'!F30,""))))))</f>
        <v/>
      </c>
      <c r="F32" s="423"/>
      <c r="G32" s="425">
        <f>IF('4 Construction Scope'!V30&lt;&gt;"",'4 Construction Scope'!V30,"")</f>
        <v>0</v>
      </c>
      <c r="H32" s="426">
        <f t="shared" si="4"/>
        <v>0</v>
      </c>
      <c r="I32" s="427" t="str">
        <f t="shared" si="2"/>
        <v/>
      </c>
      <c r="J32" s="35"/>
      <c r="K32" s="35"/>
      <c r="L32" s="36"/>
      <c r="M32" s="35"/>
      <c r="N32" s="35"/>
      <c r="O32" s="428">
        <f>(J32*Backup!$J$4+K32*Backup!$J$5+L32*Backup!$J$6+M32*Backup!$J$7+N32*Backup!$J$8)/1000</f>
        <v>0</v>
      </c>
      <c r="P32" s="428">
        <f>$J32*$H$6+$K32*Backup!$J$5/1000*$H$7+$L32*Backup!$J$6/1000*$H$8+$M32*Backup!$J$7/1000*$H$9+$N32*Backup!$J$8/1000*$H$10</f>
        <v>0</v>
      </c>
      <c r="Q32" s="428">
        <f>$J32*$J$6+$K32*Backup!$J$5/1000*$J$7+$L32*Backup!$J$6/1000*$J$8+$M32*Backup!$J$7/1000*$J$9+$N32*Backup!$J$8/1000*$J$10</f>
        <v>0</v>
      </c>
      <c r="R32" s="428">
        <f>$J32*$L$6+$K32*Backup!$J$5/1000*$L$7+$L32*Backup!$J$6/1000*$L$8+$M32*Backup!$J$7/1000*$L$9+$N32*Backup!$J$8/1000*$L$10</f>
        <v>0</v>
      </c>
      <c r="S32" s="428">
        <f>$J32*$N$6+$K32*Backup!$J$5/1000*$N$7+$L32*Backup!$J$6/1000*$N$8+$M32*Backup!$J$7/1000*$N$9+$N32*Backup!$J$8/1000*$N$10</f>
        <v>0</v>
      </c>
      <c r="T32" s="429">
        <f t="shared" si="3"/>
        <v>0</v>
      </c>
      <c r="U32" s="159"/>
      <c r="V32" s="34"/>
    </row>
    <row r="33" spans="2:22" x14ac:dyDescent="0.3">
      <c r="B33" s="433">
        <v>15</v>
      </c>
      <c r="C33" s="434" t="str">
        <f>IF('4 Construction Scope'!D31&lt;&gt;"",'4 Construction Scope'!D31,"")</f>
        <v/>
      </c>
      <c r="D33" s="435"/>
      <c r="E33" s="424" t="str">
        <f>IF('4 Construction Scope'!D31="Renewable Energy System",'4 Construction Scope'!L31,IF('4 Construction Scope'!D31="Energy Efficiency Improvement",'4 Construction Scope'!J31,IF('4 Construction Scope'!D31="Eligible Soft Cost",'4 Construction Scope'!O31,IF('4 Construction Scope'!D31="Ancillary Measure – Required to Implement Energy Improvement",'4 Construction Scope'!N31,IF('4 Construction Scope'!D31="Ancillary Measure – Energy-Related Health and Safety",'4 Construction Scope'!N31,IF('4 Construction Scope'!D31="Prequalified Measure",'4 Construction Scope'!F31,""))))))</f>
        <v/>
      </c>
      <c r="F33" s="423"/>
      <c r="G33" s="425">
        <f>IF('4 Construction Scope'!V31&lt;&gt;"",'4 Construction Scope'!V31,"")</f>
        <v>0</v>
      </c>
      <c r="H33" s="426">
        <f t="shared" si="4"/>
        <v>0</v>
      </c>
      <c r="I33" s="427" t="str">
        <f t="shared" si="2"/>
        <v/>
      </c>
      <c r="J33" s="35"/>
      <c r="K33" s="35"/>
      <c r="L33" s="36"/>
      <c r="M33" s="35"/>
      <c r="N33" s="35"/>
      <c r="O33" s="428">
        <f>(J33*Backup!$J$4+K33*Backup!$J$5+L33*Backup!$J$6+M33*Backup!$J$7+N33*Backup!$J$8)/1000</f>
        <v>0</v>
      </c>
      <c r="P33" s="428">
        <f>$J33*$H$6+$K33*Backup!$J$5/1000*$H$7+$L33*Backup!$J$6/1000*$H$8+$M33*Backup!$J$7/1000*$H$9+$N33*Backup!$J$8/1000*$H$10</f>
        <v>0</v>
      </c>
      <c r="Q33" s="428">
        <f>$J33*$J$6+$K33*Backup!$J$5/1000*$J$7+$L33*Backup!$J$6/1000*$J$8+$M33*Backup!$J$7/1000*$J$9+$N33*Backup!$J$8/1000*$J$10</f>
        <v>0</v>
      </c>
      <c r="R33" s="428">
        <f>$J33*$L$6+$K33*Backup!$J$5/1000*$L$7+$L33*Backup!$J$6/1000*$L$8+$M33*Backup!$J$7/1000*$L$9+$N33*Backup!$J$8/1000*$L$10</f>
        <v>0</v>
      </c>
      <c r="S33" s="428">
        <f>$J33*$N$6+$K33*Backup!$J$5/1000*$N$7+$L33*Backup!$J$6/1000*$N$8+$M33*Backup!$J$7/1000*$N$9+$N33*Backup!$J$8/1000*$N$10</f>
        <v>0</v>
      </c>
      <c r="T33" s="429">
        <f t="shared" si="3"/>
        <v>0</v>
      </c>
      <c r="U33" s="159"/>
      <c r="V33" s="34"/>
    </row>
    <row r="34" spans="2:22" x14ac:dyDescent="0.3">
      <c r="B34" s="433">
        <v>16</v>
      </c>
      <c r="C34" s="434" t="str">
        <f>IF('4 Construction Scope'!D32&lt;&gt;"",'4 Construction Scope'!D32,"")</f>
        <v/>
      </c>
      <c r="D34" s="435"/>
      <c r="E34" s="424" t="str">
        <f>IF('4 Construction Scope'!D32="Renewable Energy System",'4 Construction Scope'!L32,IF('4 Construction Scope'!D32="Energy Efficiency Improvement",'4 Construction Scope'!J32,IF('4 Construction Scope'!D32="Eligible Soft Cost",'4 Construction Scope'!O32,IF('4 Construction Scope'!D32="Ancillary Measure – Required to Implement Energy Improvement",'4 Construction Scope'!N32,IF('4 Construction Scope'!D32="Ancillary Measure – Energy-Related Health and Safety",'4 Construction Scope'!N32,IF('4 Construction Scope'!D32="Prequalified Measure",'4 Construction Scope'!F32,""))))))</f>
        <v/>
      </c>
      <c r="F34" s="423"/>
      <c r="G34" s="425">
        <f>IF('4 Construction Scope'!V32&lt;&gt;"",'4 Construction Scope'!V32,"")</f>
        <v>0</v>
      </c>
      <c r="H34" s="426">
        <f t="shared" si="4"/>
        <v>0</v>
      </c>
      <c r="I34" s="427" t="str">
        <f t="shared" si="2"/>
        <v/>
      </c>
      <c r="J34" s="35"/>
      <c r="K34" s="35"/>
      <c r="L34" s="36"/>
      <c r="M34" s="35"/>
      <c r="N34" s="35"/>
      <c r="O34" s="428">
        <f>(J34*Backup!$J$4+K34*Backup!$J$5+L34*Backup!$J$6+M34*Backup!$J$7+N34*Backup!$J$8)/1000</f>
        <v>0</v>
      </c>
      <c r="P34" s="428">
        <f>$J34*$H$6+$K34*Backup!$J$5/1000*$H$7+$L34*Backup!$J$6/1000*$H$8+$M34*Backup!$J$7/1000*$H$9+$N34*Backup!$J$8/1000*$H$10</f>
        <v>0</v>
      </c>
      <c r="Q34" s="428">
        <f>$J34*$J$6+$K34*Backup!$J$5/1000*$J$7+$L34*Backup!$J$6/1000*$J$8+$M34*Backup!$J$7/1000*$J$9+$N34*Backup!$J$8/1000*$J$10</f>
        <v>0</v>
      </c>
      <c r="R34" s="428">
        <f>$J34*$L$6+$K34*Backup!$J$5/1000*$L$7+$L34*Backup!$J$6/1000*$L$8+$M34*Backup!$J$7/1000*$L$9+$N34*Backup!$J$8/1000*$L$10</f>
        <v>0</v>
      </c>
      <c r="S34" s="428">
        <f>$J34*$N$6+$K34*Backup!$J$5/1000*$N$7+$L34*Backup!$J$6/1000*$N$8+$M34*Backup!$J$7/1000*$N$9+$N34*Backup!$J$8/1000*$N$10</f>
        <v>0</v>
      </c>
      <c r="T34" s="429">
        <f t="shared" si="3"/>
        <v>0</v>
      </c>
      <c r="U34" s="159"/>
      <c r="V34" s="34"/>
    </row>
    <row r="35" spans="2:22" x14ac:dyDescent="0.3">
      <c r="B35" s="433">
        <v>17</v>
      </c>
      <c r="C35" s="434" t="str">
        <f>IF('4 Construction Scope'!D33&lt;&gt;"",'4 Construction Scope'!D33,"")</f>
        <v/>
      </c>
      <c r="D35" s="435"/>
      <c r="E35" s="424" t="str">
        <f>IF('4 Construction Scope'!D33="Renewable Energy System",'4 Construction Scope'!L33,IF('4 Construction Scope'!D33="Energy Efficiency Improvement",'4 Construction Scope'!J33,IF('4 Construction Scope'!D33="Eligible Soft Cost",'4 Construction Scope'!O33,IF('4 Construction Scope'!D33="Ancillary Measure – Required to Implement Energy Improvement",'4 Construction Scope'!N33,IF('4 Construction Scope'!D33="Ancillary Measure – Energy-Related Health and Safety",'4 Construction Scope'!N33,IF('4 Construction Scope'!D33="Prequalified Measure",'4 Construction Scope'!F33,""))))))</f>
        <v/>
      </c>
      <c r="F35" s="423"/>
      <c r="G35" s="425">
        <f>IF('4 Construction Scope'!V33&lt;&gt;"",'4 Construction Scope'!V33,"")</f>
        <v>0</v>
      </c>
      <c r="H35" s="426">
        <f t="shared" si="4"/>
        <v>0</v>
      </c>
      <c r="I35" s="427" t="str">
        <f t="shared" si="2"/>
        <v/>
      </c>
      <c r="J35" s="35"/>
      <c r="K35" s="35"/>
      <c r="L35" s="36"/>
      <c r="M35" s="35"/>
      <c r="N35" s="35"/>
      <c r="O35" s="428">
        <f>(J35*Backup!$J$4+K35*Backup!$J$5+L35*Backup!$J$6+M35*Backup!$J$7+N35*Backup!$J$8)/1000</f>
        <v>0</v>
      </c>
      <c r="P35" s="428">
        <f>$J35*$H$6+$K35*Backup!$J$5/1000*$H$7+$L35*Backup!$J$6/1000*$H$8+$M35*Backup!$J$7/1000*$H$9+$N35*Backup!$J$8/1000*$H$10</f>
        <v>0</v>
      </c>
      <c r="Q35" s="428">
        <f>$J35*$J$6+$K35*Backup!$J$5/1000*$J$7+$L35*Backup!$J$6/1000*$J$8+$M35*Backup!$J$7/1000*$J$9+$N35*Backup!$J$8/1000*$J$10</f>
        <v>0</v>
      </c>
      <c r="R35" s="428">
        <f>$J35*$L$6+$K35*Backup!$J$5/1000*$L$7+$L35*Backup!$J$6/1000*$L$8+$M35*Backup!$J$7/1000*$L$9+$N35*Backup!$J$8/1000*$L$10</f>
        <v>0</v>
      </c>
      <c r="S35" s="428">
        <f>$J35*$N$6+$K35*Backup!$J$5/1000*$N$7+$L35*Backup!$J$6/1000*$N$8+$M35*Backup!$J$7/1000*$N$9+$N35*Backup!$J$8/1000*$N$10</f>
        <v>0</v>
      </c>
      <c r="T35" s="429">
        <f t="shared" si="3"/>
        <v>0</v>
      </c>
      <c r="U35" s="159"/>
      <c r="V35" s="34"/>
    </row>
    <row r="36" spans="2:22" x14ac:dyDescent="0.3">
      <c r="B36" s="433">
        <v>18</v>
      </c>
      <c r="C36" s="434" t="str">
        <f>IF('4 Construction Scope'!D34&lt;&gt;"",'4 Construction Scope'!D34,"")</f>
        <v/>
      </c>
      <c r="D36" s="435"/>
      <c r="E36" s="424" t="str">
        <f>IF('4 Construction Scope'!D34="Renewable Energy System",'4 Construction Scope'!L34,IF('4 Construction Scope'!D34="Energy Efficiency Improvement",'4 Construction Scope'!J34,IF('4 Construction Scope'!D34="Eligible Soft Cost",'4 Construction Scope'!O34,IF('4 Construction Scope'!D34="Ancillary Measure – Required to Implement Energy Improvement",'4 Construction Scope'!N34,IF('4 Construction Scope'!D34="Ancillary Measure – Energy-Related Health and Safety",'4 Construction Scope'!N34,IF('4 Construction Scope'!D34="Prequalified Measure",'4 Construction Scope'!F34,""))))))</f>
        <v/>
      </c>
      <c r="F36" s="423"/>
      <c r="G36" s="425">
        <f>IF('4 Construction Scope'!V34&lt;&gt;"",'4 Construction Scope'!V34,"")</f>
        <v>0</v>
      </c>
      <c r="H36" s="426">
        <f t="shared" si="4"/>
        <v>0</v>
      </c>
      <c r="I36" s="427" t="str">
        <f t="shared" si="2"/>
        <v/>
      </c>
      <c r="J36" s="35"/>
      <c r="K36" s="35"/>
      <c r="L36" s="36"/>
      <c r="M36" s="35"/>
      <c r="N36" s="35"/>
      <c r="O36" s="428">
        <f>(J36*Backup!$J$4+K36*Backup!$J$5+L36*Backup!$J$6+M36*Backup!$J$7+N36*Backup!$J$8)/1000</f>
        <v>0</v>
      </c>
      <c r="P36" s="428">
        <f>$J36*$H$6+$K36*Backup!$J$5/1000*$H$7+$L36*Backup!$J$6/1000*$H$8+$M36*Backup!$J$7/1000*$H$9+$N36*Backup!$J$8/1000*$H$10</f>
        <v>0</v>
      </c>
      <c r="Q36" s="428">
        <f>$J36*$J$6+$K36*Backup!$J$5/1000*$J$7+$L36*Backup!$J$6/1000*$J$8+$M36*Backup!$J$7/1000*$J$9+$N36*Backup!$J$8/1000*$J$10</f>
        <v>0</v>
      </c>
      <c r="R36" s="428">
        <f>$J36*$L$6+$K36*Backup!$J$5/1000*$L$7+$L36*Backup!$J$6/1000*$L$8+$M36*Backup!$J$7/1000*$L$9+$N36*Backup!$J$8/1000*$L$10</f>
        <v>0</v>
      </c>
      <c r="S36" s="428">
        <f>$J36*$N$6+$K36*Backup!$J$5/1000*$N$7+$L36*Backup!$J$6/1000*$N$8+$M36*Backup!$J$7/1000*$N$9+$N36*Backup!$J$8/1000*$N$10</f>
        <v>0</v>
      </c>
      <c r="T36" s="429">
        <f t="shared" si="3"/>
        <v>0</v>
      </c>
      <c r="U36" s="159"/>
      <c r="V36" s="34"/>
    </row>
    <row r="37" spans="2:22" x14ac:dyDescent="0.3">
      <c r="B37" s="433">
        <v>19</v>
      </c>
      <c r="C37" s="434" t="str">
        <f>IF('4 Construction Scope'!D35&lt;&gt;"",'4 Construction Scope'!D35,"")</f>
        <v/>
      </c>
      <c r="D37" s="435"/>
      <c r="E37" s="424" t="str">
        <f>IF('4 Construction Scope'!D35="Renewable Energy System",'4 Construction Scope'!L35,IF('4 Construction Scope'!D35="Energy Efficiency Improvement",'4 Construction Scope'!J35,IF('4 Construction Scope'!D35="Eligible Soft Cost",'4 Construction Scope'!O35,IF('4 Construction Scope'!D35="Ancillary Measure – Required to Implement Energy Improvement",'4 Construction Scope'!N35,IF('4 Construction Scope'!D35="Ancillary Measure – Energy-Related Health and Safety",'4 Construction Scope'!N35,IF('4 Construction Scope'!D35="Prequalified Measure",'4 Construction Scope'!F35,""))))))</f>
        <v/>
      </c>
      <c r="F37" s="423"/>
      <c r="G37" s="425">
        <f>IF('4 Construction Scope'!V35&lt;&gt;"",'4 Construction Scope'!V35,"")</f>
        <v>0</v>
      </c>
      <c r="H37" s="426">
        <f t="shared" si="4"/>
        <v>0</v>
      </c>
      <c r="I37" s="427" t="str">
        <f t="shared" si="2"/>
        <v/>
      </c>
      <c r="J37" s="35"/>
      <c r="K37" s="35"/>
      <c r="L37" s="36"/>
      <c r="M37" s="35"/>
      <c r="N37" s="35"/>
      <c r="O37" s="428">
        <f>(J37*Backup!$J$4+K37*Backup!$J$5+L37*Backup!$J$6+M37*Backup!$J$7+N37*Backup!$J$8)/1000</f>
        <v>0</v>
      </c>
      <c r="P37" s="428">
        <f>$J37*$H$6+$K37*Backup!$J$5/1000*$H$7+$L37*Backup!$J$6/1000*$H$8+$M37*Backup!$J$7/1000*$H$9+$N37*Backup!$J$8/1000*$H$10</f>
        <v>0</v>
      </c>
      <c r="Q37" s="428">
        <f>$J37*$J$6+$K37*Backup!$J$5/1000*$J$7+$L37*Backup!$J$6/1000*$J$8+$M37*Backup!$J$7/1000*$J$9+$N37*Backup!$J$8/1000*$J$10</f>
        <v>0</v>
      </c>
      <c r="R37" s="428">
        <f>$J37*$L$6+$K37*Backup!$J$5/1000*$L$7+$L37*Backup!$J$6/1000*$L$8+$M37*Backup!$J$7/1000*$L$9+$N37*Backup!$J$8/1000*$L$10</f>
        <v>0</v>
      </c>
      <c r="S37" s="428">
        <f>$J37*$N$6+$K37*Backup!$J$5/1000*$N$7+$L37*Backup!$J$6/1000*$N$8+$M37*Backup!$J$7/1000*$N$9+$N37*Backup!$J$8/1000*$N$10</f>
        <v>0</v>
      </c>
      <c r="T37" s="429">
        <f t="shared" si="3"/>
        <v>0</v>
      </c>
      <c r="U37" s="159"/>
      <c r="V37" s="34"/>
    </row>
    <row r="38" spans="2:22" x14ac:dyDescent="0.3">
      <c r="B38" s="433">
        <v>20</v>
      </c>
      <c r="C38" s="434" t="str">
        <f>IF('4 Construction Scope'!D36&lt;&gt;"",'4 Construction Scope'!D36,"")</f>
        <v/>
      </c>
      <c r="D38" s="435"/>
      <c r="E38" s="424" t="str">
        <f>IF('4 Construction Scope'!D36="Renewable Energy System",'4 Construction Scope'!L36,IF('4 Construction Scope'!D36="Energy Efficiency Improvement",'4 Construction Scope'!J36,IF('4 Construction Scope'!D36="Eligible Soft Cost",'4 Construction Scope'!O36,IF('4 Construction Scope'!D36="Ancillary Measure – Required to Implement Energy Improvement",'4 Construction Scope'!N36,IF('4 Construction Scope'!D36="Ancillary Measure – Energy-Related Health and Safety",'4 Construction Scope'!N36,IF('4 Construction Scope'!D36="Prequalified Measure",'4 Construction Scope'!F36,""))))))</f>
        <v/>
      </c>
      <c r="F38" s="423"/>
      <c r="G38" s="425">
        <f>IF('4 Construction Scope'!V36&lt;&gt;"",'4 Construction Scope'!V36,"")</f>
        <v>0</v>
      </c>
      <c r="H38" s="426">
        <f t="shared" si="4"/>
        <v>0</v>
      </c>
      <c r="I38" s="427" t="str">
        <f t="shared" si="2"/>
        <v/>
      </c>
      <c r="J38" s="35"/>
      <c r="K38" s="35"/>
      <c r="L38" s="36"/>
      <c r="M38" s="35"/>
      <c r="N38" s="35"/>
      <c r="O38" s="428">
        <f>(J38*Backup!$J$4+K38*Backup!$J$5+L38*Backup!$J$6+M38*Backup!$J$7+N38*Backup!$J$8)/1000</f>
        <v>0</v>
      </c>
      <c r="P38" s="428">
        <f>$J38*$H$6+$K38*Backup!$J$5/1000*$H$7+$L38*Backup!$J$6/1000*$H$8+$M38*Backup!$J$7/1000*$H$9+$N38*Backup!$J$8/1000*$H$10</f>
        <v>0</v>
      </c>
      <c r="Q38" s="428">
        <f>$J38*$J$6+$K38*Backup!$J$5/1000*$J$7+$L38*Backup!$J$6/1000*$J$8+$M38*Backup!$J$7/1000*$J$9+$N38*Backup!$J$8/1000*$J$10</f>
        <v>0</v>
      </c>
      <c r="R38" s="428">
        <f>$J38*$L$6+$K38*Backup!$J$5/1000*$L$7+$L38*Backup!$J$6/1000*$L$8+$M38*Backup!$J$7/1000*$L$9+$N38*Backup!$J$8/1000*$L$10</f>
        <v>0</v>
      </c>
      <c r="S38" s="428">
        <f>$J38*$N$6+$K38*Backup!$J$5/1000*$N$7+$L38*Backup!$J$6/1000*$N$8+$M38*Backup!$J$7/1000*$N$9+$N38*Backup!$J$8/1000*$N$10</f>
        <v>0</v>
      </c>
      <c r="T38" s="429">
        <f t="shared" si="3"/>
        <v>0</v>
      </c>
      <c r="U38" s="159"/>
      <c r="V38" s="34"/>
    </row>
    <row r="39" spans="2:22" x14ac:dyDescent="0.3">
      <c r="B39" s="433">
        <v>21</v>
      </c>
      <c r="C39" s="434" t="str">
        <f>IF('4 Construction Scope'!D37&lt;&gt;"",'4 Construction Scope'!D37,"")</f>
        <v/>
      </c>
      <c r="D39" s="435"/>
      <c r="E39" s="424" t="str">
        <f>IF('4 Construction Scope'!D37="Renewable Energy System",'4 Construction Scope'!L37,IF('4 Construction Scope'!D37="Energy Efficiency Improvement",'4 Construction Scope'!J37,IF('4 Construction Scope'!D37="Eligible Soft Cost",'4 Construction Scope'!O37,IF('4 Construction Scope'!D37="Ancillary Measure – Required to Implement Energy Improvement",'4 Construction Scope'!N37,IF('4 Construction Scope'!D37="Ancillary Measure – Energy-Related Health and Safety",'4 Construction Scope'!N37,IF('4 Construction Scope'!D37="Prequalified Measure",'4 Construction Scope'!F37,""))))))</f>
        <v/>
      </c>
      <c r="F39" s="423"/>
      <c r="G39" s="425">
        <f>IF('4 Construction Scope'!V37&lt;&gt;"",'4 Construction Scope'!V37,"")</f>
        <v>0</v>
      </c>
      <c r="H39" s="426">
        <f t="shared" si="4"/>
        <v>0</v>
      </c>
      <c r="I39" s="427" t="str">
        <f t="shared" si="2"/>
        <v/>
      </c>
      <c r="J39" s="35"/>
      <c r="K39" s="35"/>
      <c r="L39" s="36"/>
      <c r="M39" s="35"/>
      <c r="N39" s="35"/>
      <c r="O39" s="428">
        <f>(J39*Backup!$J$4+K39*Backup!$J$5+L39*Backup!$J$6+M39*Backup!$J$7+N39*Backup!$J$8)/1000</f>
        <v>0</v>
      </c>
      <c r="P39" s="428">
        <f>$J39*$H$6+$K39*Backup!$J$5/1000*$H$7+$L39*Backup!$J$6/1000*$H$8+$M39*Backup!$J$7/1000*$H$9+$N39*Backup!$J$8/1000*$H$10</f>
        <v>0</v>
      </c>
      <c r="Q39" s="428">
        <f>$J39*$J$6+$K39*Backup!$J$5/1000*$J$7+$L39*Backup!$J$6/1000*$J$8+$M39*Backup!$J$7/1000*$J$9+$N39*Backup!$J$8/1000*$J$10</f>
        <v>0</v>
      </c>
      <c r="R39" s="428">
        <f>$J39*$L$6+$K39*Backup!$J$5/1000*$L$7+$L39*Backup!$J$6/1000*$L$8+$M39*Backup!$J$7/1000*$L$9+$N39*Backup!$J$8/1000*$L$10</f>
        <v>0</v>
      </c>
      <c r="S39" s="428">
        <f>$J39*$N$6+$K39*Backup!$J$5/1000*$N$7+$L39*Backup!$J$6/1000*$N$8+$M39*Backup!$J$7/1000*$N$9+$N39*Backup!$J$8/1000*$N$10</f>
        <v>0</v>
      </c>
      <c r="T39" s="429">
        <f t="shared" si="3"/>
        <v>0</v>
      </c>
      <c r="U39" s="159"/>
      <c r="V39" s="34"/>
    </row>
    <row r="40" spans="2:22" x14ac:dyDescent="0.3">
      <c r="B40" s="433">
        <v>22</v>
      </c>
      <c r="C40" s="434" t="str">
        <f>IF('4 Construction Scope'!D38&lt;&gt;"",'4 Construction Scope'!D38,"")</f>
        <v/>
      </c>
      <c r="D40" s="435"/>
      <c r="E40" s="424" t="str">
        <f>IF('4 Construction Scope'!D38="Renewable Energy System",'4 Construction Scope'!L38,IF('4 Construction Scope'!D38="Energy Efficiency Improvement",'4 Construction Scope'!J38,IF('4 Construction Scope'!D38="Eligible Soft Cost",'4 Construction Scope'!O38,IF('4 Construction Scope'!D38="Ancillary Measure – Required to Implement Energy Improvement",'4 Construction Scope'!N38,IF('4 Construction Scope'!D38="Ancillary Measure – Energy-Related Health and Safety",'4 Construction Scope'!N38,IF('4 Construction Scope'!D38="Prequalified Measure",'4 Construction Scope'!F38,""))))))</f>
        <v/>
      </c>
      <c r="F40" s="423"/>
      <c r="G40" s="425">
        <f>IF('4 Construction Scope'!V38&lt;&gt;"",'4 Construction Scope'!V38,"")</f>
        <v>0</v>
      </c>
      <c r="H40" s="426">
        <f t="shared" si="4"/>
        <v>0</v>
      </c>
      <c r="I40" s="427" t="str">
        <f t="shared" si="2"/>
        <v/>
      </c>
      <c r="J40" s="35"/>
      <c r="K40" s="35"/>
      <c r="L40" s="36"/>
      <c r="M40" s="35"/>
      <c r="N40" s="35"/>
      <c r="O40" s="428">
        <f>(J40*Backup!$J$4+K40*Backup!$J$5+L40*Backup!$J$6+M40*Backup!$J$7+N40*Backup!$J$8)/1000</f>
        <v>0</v>
      </c>
      <c r="P40" s="428">
        <f>$J40*$H$6+$K40*Backup!$J$5/1000*$H$7+$L40*Backup!$J$6/1000*$H$8+$M40*Backup!$J$7/1000*$H$9+$N40*Backup!$J$8/1000*$H$10</f>
        <v>0</v>
      </c>
      <c r="Q40" s="428">
        <f>$J40*$J$6+$K40*Backup!$J$5/1000*$J$7+$L40*Backup!$J$6/1000*$J$8+$M40*Backup!$J$7/1000*$J$9+$N40*Backup!$J$8/1000*$J$10</f>
        <v>0</v>
      </c>
      <c r="R40" s="428">
        <f>$J40*$L$6+$K40*Backup!$J$5/1000*$L$7+$L40*Backup!$J$6/1000*$L$8+$M40*Backup!$J$7/1000*$L$9+$N40*Backup!$J$8/1000*$L$10</f>
        <v>0</v>
      </c>
      <c r="S40" s="428">
        <f>$J40*$N$6+$K40*Backup!$J$5/1000*$N$7+$L40*Backup!$J$6/1000*$N$8+$M40*Backup!$J$7/1000*$N$9+$N40*Backup!$J$8/1000*$N$10</f>
        <v>0</v>
      </c>
      <c r="T40" s="429">
        <f t="shared" si="3"/>
        <v>0</v>
      </c>
      <c r="U40" s="159"/>
      <c r="V40" s="34"/>
    </row>
    <row r="41" spans="2:22" x14ac:dyDescent="0.3">
      <c r="B41" s="433">
        <v>23</v>
      </c>
      <c r="C41" s="434" t="str">
        <f>IF('4 Construction Scope'!D39&lt;&gt;"",'4 Construction Scope'!D39,"")</f>
        <v/>
      </c>
      <c r="D41" s="435"/>
      <c r="E41" s="424" t="str">
        <f>IF('4 Construction Scope'!D39="Renewable Energy System",'4 Construction Scope'!L39,IF('4 Construction Scope'!D39="Energy Efficiency Improvement",'4 Construction Scope'!J39,IF('4 Construction Scope'!D39="Eligible Soft Cost",'4 Construction Scope'!O39,IF('4 Construction Scope'!D39="Ancillary Measure – Required to Implement Energy Improvement",'4 Construction Scope'!N39,IF('4 Construction Scope'!D39="Ancillary Measure – Energy-Related Health and Safety",'4 Construction Scope'!N39,IF('4 Construction Scope'!D39="Prequalified Measure",'4 Construction Scope'!F39,""))))))</f>
        <v/>
      </c>
      <c r="F41" s="423"/>
      <c r="G41" s="425">
        <f>IF('4 Construction Scope'!V39&lt;&gt;"",'4 Construction Scope'!V39,"")</f>
        <v>0</v>
      </c>
      <c r="H41" s="426">
        <f t="shared" si="4"/>
        <v>0</v>
      </c>
      <c r="I41" s="427" t="str">
        <f>IFERROR(G41/H41,"")</f>
        <v/>
      </c>
      <c r="J41" s="35"/>
      <c r="K41" s="35"/>
      <c r="L41" s="36"/>
      <c r="M41" s="35"/>
      <c r="N41" s="35"/>
      <c r="O41" s="428">
        <f>(J41*Backup!$J$4+K41*Backup!$J$5+L41*Backup!$J$6+M41*Backup!$J$7+N41*Backup!$J$8)/1000</f>
        <v>0</v>
      </c>
      <c r="P41" s="428">
        <f>$J41*$H$6+$K41*Backup!$J$5/1000*$H$7+$L41*Backup!$J$6/1000*$H$8+$M41*Backup!$J$7/1000*$H$9+$N41*Backup!$J$8/1000*$H$10</f>
        <v>0</v>
      </c>
      <c r="Q41" s="428">
        <f>$J41*$J$6+$K41*Backup!$J$5/1000*$J$7+$L41*Backup!$J$6/1000*$J$8+$M41*Backup!$J$7/1000*$J$9+$N41*Backup!$J$8/1000*$J$10</f>
        <v>0</v>
      </c>
      <c r="R41" s="428">
        <f>$J41*$L$6+$K41*Backup!$J$5/1000*$L$7+$L41*Backup!$J$6/1000*$L$8+$M41*Backup!$J$7/1000*$L$9+$N41*Backup!$J$8/1000*$L$10</f>
        <v>0</v>
      </c>
      <c r="S41" s="428">
        <f>$J41*$N$6+$K41*Backup!$J$5/1000*$N$7+$L41*Backup!$J$6/1000*$N$8+$M41*Backup!$J$7/1000*$N$9+$N41*Backup!$J$8/1000*$N$10</f>
        <v>0</v>
      </c>
      <c r="T41" s="429">
        <f t="shared" si="3"/>
        <v>0</v>
      </c>
      <c r="U41" s="159"/>
      <c r="V41" s="34"/>
    </row>
    <row r="42" spans="2:22" x14ac:dyDescent="0.3">
      <c r="B42" s="433">
        <v>24</v>
      </c>
      <c r="C42" s="434" t="str">
        <f>IF('4 Construction Scope'!D40&lt;&gt;"",'4 Construction Scope'!D40,"")</f>
        <v/>
      </c>
      <c r="D42" s="435"/>
      <c r="E42" s="424" t="str">
        <f>IF('4 Construction Scope'!D40="Renewable Energy System",'4 Construction Scope'!L40,IF('4 Construction Scope'!D40="Energy Efficiency Improvement",'4 Construction Scope'!J40,IF('4 Construction Scope'!D40="Eligible Soft Cost",'4 Construction Scope'!O40,IF('4 Construction Scope'!D40="Ancillary Measure – Required to Implement Energy Improvement",'4 Construction Scope'!N40,IF('4 Construction Scope'!D40="Ancillary Measure – Energy-Related Health and Safety",'4 Construction Scope'!N40,IF('4 Construction Scope'!D40="Prequalified Measure",'4 Construction Scope'!F40,""))))))</f>
        <v/>
      </c>
      <c r="F42" s="423"/>
      <c r="G42" s="425">
        <f>IF('4 Construction Scope'!V40&lt;&gt;"",'4 Construction Scope'!V40,"")</f>
        <v>0</v>
      </c>
      <c r="H42" s="426">
        <f t="shared" si="4"/>
        <v>0</v>
      </c>
      <c r="I42" s="427" t="str">
        <f t="shared" si="2"/>
        <v/>
      </c>
      <c r="J42" s="35"/>
      <c r="K42" s="35"/>
      <c r="L42" s="36"/>
      <c r="M42" s="35"/>
      <c r="N42" s="35"/>
      <c r="O42" s="428">
        <f>(J42*Backup!$J$4+K42*Backup!$J$5+L42*Backup!$J$6+M42*Backup!$J$7+N42*Backup!$J$8)/1000</f>
        <v>0</v>
      </c>
      <c r="P42" s="428">
        <f>$J42*$H$6+$K42*Backup!$J$5/1000*$H$7+$L42*Backup!$J$6/1000*$H$8+$M42*Backup!$J$7/1000*$H$9+$N42*Backup!$J$8/1000*$H$10</f>
        <v>0</v>
      </c>
      <c r="Q42" s="428">
        <f>$J42*$J$6+$K42*Backup!$J$5/1000*$J$7+$L42*Backup!$J$6/1000*$J$8+$M42*Backup!$J$7/1000*$J$9+$N42*Backup!$J$8/1000*$J$10</f>
        <v>0</v>
      </c>
      <c r="R42" s="428">
        <f>$J42*$L$6+$K42*Backup!$J$5/1000*$L$7+$L42*Backup!$J$6/1000*$L$8+$M42*Backup!$J$7/1000*$L$9+$N42*Backup!$J$8/1000*$L$10</f>
        <v>0</v>
      </c>
      <c r="S42" s="428">
        <f>$J42*$N$6+$K42*Backup!$J$5/1000*$N$7+$L42*Backup!$J$6/1000*$N$8+$M42*Backup!$J$7/1000*$N$9+$N42*Backup!$J$8/1000*$N$10</f>
        <v>0</v>
      </c>
      <c r="T42" s="429">
        <f t="shared" si="3"/>
        <v>0</v>
      </c>
      <c r="U42" s="159"/>
      <c r="V42" s="34"/>
    </row>
    <row r="43" spans="2:22" x14ac:dyDescent="0.3">
      <c r="B43" s="433">
        <v>25</v>
      </c>
      <c r="C43" s="434" t="str">
        <f>IF('4 Construction Scope'!D41&lt;&gt;"",'4 Construction Scope'!D41,"")</f>
        <v/>
      </c>
      <c r="D43" s="435"/>
      <c r="E43" s="424" t="str">
        <f>IF('4 Construction Scope'!D41="Renewable Energy System",'4 Construction Scope'!L41,IF('4 Construction Scope'!D41="Energy Efficiency Improvement",'4 Construction Scope'!J41,IF('4 Construction Scope'!D41="Eligible Soft Cost",'4 Construction Scope'!O41,IF('4 Construction Scope'!D41="Ancillary Measure – Required to Implement Energy Improvement",'4 Construction Scope'!N41,IF('4 Construction Scope'!D41="Ancillary Measure – Energy-Related Health and Safety",'4 Construction Scope'!N41,IF('4 Construction Scope'!D41="Prequalified Measure",'4 Construction Scope'!F41,""))))))</f>
        <v/>
      </c>
      <c r="F43" s="423"/>
      <c r="G43" s="425">
        <f>IF('4 Construction Scope'!V41&lt;&gt;"",'4 Construction Scope'!V41,"")</f>
        <v>0</v>
      </c>
      <c r="H43" s="426">
        <f t="shared" si="4"/>
        <v>0</v>
      </c>
      <c r="I43" s="427" t="str">
        <f t="shared" si="2"/>
        <v/>
      </c>
      <c r="J43" s="35"/>
      <c r="K43" s="35"/>
      <c r="L43" s="36"/>
      <c r="M43" s="35"/>
      <c r="N43" s="35"/>
      <c r="O43" s="428">
        <f>(J43*Backup!$J$4+K43*Backup!$J$5+L43*Backup!$J$6+M43*Backup!$J$7+N43*Backup!$J$8)/1000</f>
        <v>0</v>
      </c>
      <c r="P43" s="428">
        <f>$J43*$H$6+$K43*Backup!$J$5/1000*$H$7+$L43*Backup!$J$6/1000*$H$8+$M43*Backup!$J$7/1000*$H$9+$N43*Backup!$J$8/1000*$H$10</f>
        <v>0</v>
      </c>
      <c r="Q43" s="428">
        <f>$J43*$J$6+$K43*Backup!$J$5/1000*$J$7+$L43*Backup!$J$6/1000*$J$8+$M43*Backup!$J$7/1000*$J$9+$N43*Backup!$J$8/1000*$J$10</f>
        <v>0</v>
      </c>
      <c r="R43" s="428">
        <f>$J43*$L$6+$K43*Backup!$J$5/1000*$L$7+$L43*Backup!$J$6/1000*$L$8+$M43*Backup!$J$7/1000*$L$9+$N43*Backup!$J$8/1000*$L$10</f>
        <v>0</v>
      </c>
      <c r="S43" s="428">
        <f>$J43*$N$6+$K43*Backup!$J$5/1000*$N$7+$L43*Backup!$J$6/1000*$N$8+$M43*Backup!$J$7/1000*$N$9+$N43*Backup!$J$8/1000*$N$10</f>
        <v>0</v>
      </c>
      <c r="T43" s="429">
        <f t="shared" si="3"/>
        <v>0</v>
      </c>
      <c r="U43" s="159"/>
      <c r="V43" s="34"/>
    </row>
    <row r="44" spans="2:22" x14ac:dyDescent="0.3">
      <c r="B44" s="433">
        <v>26</v>
      </c>
      <c r="C44" s="434" t="str">
        <f>IF('4 Construction Scope'!D42&lt;&gt;"",'4 Construction Scope'!D42,"")</f>
        <v/>
      </c>
      <c r="D44" s="435"/>
      <c r="E44" s="424" t="str">
        <f>IF('4 Construction Scope'!D42="Renewable Energy System",'4 Construction Scope'!L42,IF('4 Construction Scope'!D42="Energy Efficiency Improvement",'4 Construction Scope'!J42,IF('4 Construction Scope'!D42="Eligible Soft Cost",'4 Construction Scope'!O42,IF('4 Construction Scope'!D42="Ancillary Measure – Required to Implement Energy Improvement",'4 Construction Scope'!N42,IF('4 Construction Scope'!D42="Ancillary Measure – Energy-Related Health and Safety",'4 Construction Scope'!N42,IF('4 Construction Scope'!D42="Prequalified Measure",'4 Construction Scope'!F42,""))))))</f>
        <v/>
      </c>
      <c r="F44" s="423"/>
      <c r="G44" s="425">
        <f>IF('4 Construction Scope'!V42&lt;&gt;"",'4 Construction Scope'!V42,"")</f>
        <v>0</v>
      </c>
      <c r="H44" s="426">
        <f t="shared" si="4"/>
        <v>0</v>
      </c>
      <c r="I44" s="427" t="str">
        <f t="shared" si="2"/>
        <v/>
      </c>
      <c r="J44" s="65"/>
      <c r="K44" s="65"/>
      <c r="L44" s="36"/>
      <c r="M44" s="65"/>
      <c r="N44" s="65"/>
      <c r="O44" s="428">
        <f>(J44*Backup!$J$4+K44*Backup!$J$5+L44*Backup!$J$6+M44*Backup!$J$7+N44*Backup!$J$8)/1000</f>
        <v>0</v>
      </c>
      <c r="P44" s="428">
        <f>$J44*$H$6+$K44*Backup!$J$5/1000*$H$7+$L44*Backup!$J$6/1000*$H$8+$M44*Backup!$J$7/1000*$H$9+$N44*Backup!$J$8/1000*$H$10</f>
        <v>0</v>
      </c>
      <c r="Q44" s="428">
        <f>$J44*$J$6+$K44*Backup!$J$5/1000*$J$7+$L44*Backup!$J$6/1000*$J$8+$M44*Backup!$J$7/1000*$J$9+$N44*Backup!$J$8/1000*$J$10</f>
        <v>0</v>
      </c>
      <c r="R44" s="428">
        <f>$J44*$L$6+$K44*Backup!$J$5/1000*$L$7+$L44*Backup!$J$6/1000*$L$8+$M44*Backup!$J$7/1000*$L$9+$N44*Backup!$J$8/1000*$L$10</f>
        <v>0</v>
      </c>
      <c r="S44" s="428">
        <f>$J44*$N$6+$K44*Backup!$J$5/1000*$N$7+$L44*Backup!$J$6/1000*$N$8+$M44*Backup!$J$7/1000*$N$9+$N44*Backup!$J$8/1000*$N$10</f>
        <v>0</v>
      </c>
      <c r="T44" s="429">
        <f t="shared" si="3"/>
        <v>0</v>
      </c>
      <c r="U44" s="159"/>
      <c r="V44" s="66"/>
    </row>
    <row r="45" spans="2:22" x14ac:dyDescent="0.3">
      <c r="B45" s="433">
        <v>27</v>
      </c>
      <c r="C45" s="434" t="str">
        <f>IF('4 Construction Scope'!D43&lt;&gt;"",'4 Construction Scope'!D43,"")</f>
        <v/>
      </c>
      <c r="D45" s="435"/>
      <c r="E45" s="424" t="str">
        <f>IF('4 Construction Scope'!D43="Renewable Energy System",'4 Construction Scope'!L43,IF('4 Construction Scope'!D43="Energy Efficiency Improvement",'4 Construction Scope'!J43,IF('4 Construction Scope'!D43="Eligible Soft Cost",'4 Construction Scope'!O43,IF('4 Construction Scope'!D43="Ancillary Measure – Required to Implement Energy Improvement",'4 Construction Scope'!N43,IF('4 Construction Scope'!D43="Ancillary Measure – Energy-Related Health and Safety",'4 Construction Scope'!N43,IF('4 Construction Scope'!D43="Prequalified Measure",'4 Construction Scope'!F43,""))))))</f>
        <v/>
      </c>
      <c r="F45" s="423"/>
      <c r="G45" s="425">
        <f>IF('4 Construction Scope'!V43&lt;&gt;"",'4 Construction Scope'!V43,"")</f>
        <v>0</v>
      </c>
      <c r="H45" s="426">
        <f t="shared" si="4"/>
        <v>0</v>
      </c>
      <c r="I45" s="427" t="str">
        <f t="shared" si="2"/>
        <v/>
      </c>
      <c r="J45" s="65"/>
      <c r="K45" s="65"/>
      <c r="L45" s="36"/>
      <c r="M45" s="65"/>
      <c r="N45" s="65"/>
      <c r="O45" s="428">
        <f>(J45*Backup!$J$4+K45*Backup!$J$5+L45*Backup!$J$6+M45*Backup!$J$7+N45*Backup!$J$8)/1000</f>
        <v>0</v>
      </c>
      <c r="P45" s="428">
        <f>$J45*$H$6+$K45*Backup!$J$5/1000*$H$7+$L45*Backup!$J$6/1000*$H$8+$M45*Backup!$J$7/1000*$H$9+$N45*Backup!$J$8/1000*$H$10</f>
        <v>0</v>
      </c>
      <c r="Q45" s="428">
        <f>$J45*$J$6+$K45*Backup!$J$5/1000*$J$7+$L45*Backup!$J$6/1000*$J$8+$M45*Backup!$J$7/1000*$J$9+$N45*Backup!$J$8/1000*$J$10</f>
        <v>0</v>
      </c>
      <c r="R45" s="428">
        <f>$J45*$L$6+$K45*Backup!$J$5/1000*$L$7+$L45*Backup!$J$6/1000*$L$8+$M45*Backup!$J$7/1000*$L$9+$N45*Backup!$J$8/1000*$L$10</f>
        <v>0</v>
      </c>
      <c r="S45" s="428">
        <f>$J45*$N$6+$K45*Backup!$J$5/1000*$N$7+$L45*Backup!$J$6/1000*$N$8+$M45*Backup!$J$7/1000*$N$9+$N45*Backup!$J$8/1000*$N$10</f>
        <v>0</v>
      </c>
      <c r="T45" s="429">
        <f t="shared" si="3"/>
        <v>0</v>
      </c>
      <c r="U45" s="159"/>
      <c r="V45" s="66"/>
    </row>
    <row r="46" spans="2:22" x14ac:dyDescent="0.3">
      <c r="B46" s="433">
        <v>28</v>
      </c>
      <c r="C46" s="434" t="str">
        <f>IF('4 Construction Scope'!D44&lt;&gt;"",'4 Construction Scope'!D44,"")</f>
        <v/>
      </c>
      <c r="D46" s="435"/>
      <c r="E46" s="424" t="str">
        <f>IF('4 Construction Scope'!D44="Renewable Energy System",'4 Construction Scope'!L44,IF('4 Construction Scope'!D44="Energy Efficiency Improvement",'4 Construction Scope'!J44,IF('4 Construction Scope'!D44="Eligible Soft Cost",'4 Construction Scope'!O44,IF('4 Construction Scope'!D44="Ancillary Measure – Required to Implement Energy Improvement",'4 Construction Scope'!N44,IF('4 Construction Scope'!D44="Ancillary Measure – Energy-Related Health and Safety",'4 Construction Scope'!N44,IF('4 Construction Scope'!D44="Prequalified Measure",'4 Construction Scope'!F44,""))))))</f>
        <v/>
      </c>
      <c r="F46" s="423"/>
      <c r="G46" s="425">
        <f>IF('4 Construction Scope'!V44&lt;&gt;"",'4 Construction Scope'!V44,"")</f>
        <v>0</v>
      </c>
      <c r="H46" s="426">
        <f t="shared" si="4"/>
        <v>0</v>
      </c>
      <c r="I46" s="427" t="str">
        <f t="shared" si="2"/>
        <v/>
      </c>
      <c r="J46" s="65"/>
      <c r="K46" s="65"/>
      <c r="L46" s="36"/>
      <c r="M46" s="65"/>
      <c r="N46" s="65"/>
      <c r="O46" s="428">
        <f>(J46*Backup!$J$4+K46*Backup!$J$5+L46*Backup!$J$6+M46*Backup!$J$7+N46*Backup!$J$8)/1000</f>
        <v>0</v>
      </c>
      <c r="P46" s="428">
        <f>$J46*$H$6+$K46*Backup!$J$5/1000*$H$7+$L46*Backup!$J$6/1000*$H$8+$M46*Backup!$J$7/1000*$H$9+$N46*Backup!$J$8/1000*$H$10</f>
        <v>0</v>
      </c>
      <c r="Q46" s="428">
        <f>$J46*$J$6+$K46*Backup!$J$5/1000*$J$7+$L46*Backup!$J$6/1000*$J$8+$M46*Backup!$J$7/1000*$J$9+$N46*Backup!$J$8/1000*$J$10</f>
        <v>0</v>
      </c>
      <c r="R46" s="428">
        <f>$J46*$L$6+$K46*Backup!$J$5/1000*$L$7+$L46*Backup!$J$6/1000*$L$8+$M46*Backup!$J$7/1000*$L$9+$N46*Backup!$J$8/1000*$L$10</f>
        <v>0</v>
      </c>
      <c r="S46" s="428">
        <f>$J46*$N$6+$K46*Backup!$J$5/1000*$N$7+$L46*Backup!$J$6/1000*$N$8+$M46*Backup!$J$7/1000*$N$9+$N46*Backup!$J$8/1000*$N$10</f>
        <v>0</v>
      </c>
      <c r="T46" s="429">
        <f t="shared" si="3"/>
        <v>0</v>
      </c>
      <c r="U46" s="159"/>
      <c r="V46" s="66"/>
    </row>
    <row r="47" spans="2:22" x14ac:dyDescent="0.3">
      <c r="B47" s="433">
        <v>29</v>
      </c>
      <c r="C47" s="434" t="str">
        <f>IF('4 Construction Scope'!D45&lt;&gt;"",'4 Construction Scope'!D45,"")</f>
        <v/>
      </c>
      <c r="D47" s="435"/>
      <c r="E47" s="424" t="str">
        <f>IF('4 Construction Scope'!D45="Renewable Energy System",'4 Construction Scope'!L45,IF('4 Construction Scope'!D45="Energy Efficiency Improvement",'4 Construction Scope'!J45,IF('4 Construction Scope'!D45="Eligible Soft Cost",'4 Construction Scope'!O45,IF('4 Construction Scope'!D45="Ancillary Measure – Required to Implement Energy Improvement",'4 Construction Scope'!N45,IF('4 Construction Scope'!D45="Ancillary Measure – Energy-Related Health and Safety",'4 Construction Scope'!N45,IF('4 Construction Scope'!D45="Prequalified Measure",'4 Construction Scope'!F45,""))))))</f>
        <v/>
      </c>
      <c r="F47" s="423"/>
      <c r="G47" s="425">
        <f>IF('4 Construction Scope'!V45&lt;&gt;"",'4 Construction Scope'!V45,"")</f>
        <v>0</v>
      </c>
      <c r="H47" s="426">
        <f t="shared" si="4"/>
        <v>0</v>
      </c>
      <c r="I47" s="427" t="str">
        <f t="shared" si="2"/>
        <v/>
      </c>
      <c r="J47" s="65"/>
      <c r="K47" s="65"/>
      <c r="L47" s="36"/>
      <c r="M47" s="65"/>
      <c r="N47" s="65"/>
      <c r="O47" s="428">
        <f>(J47*Backup!$J$4+K47*Backup!$J$5+L47*Backup!$J$6+M47*Backup!$J$7+N47*Backup!$J$8)/1000</f>
        <v>0</v>
      </c>
      <c r="P47" s="428">
        <f>$J47*$H$6+$K47*Backup!$J$5/1000*$H$7+$L47*Backup!$J$6/1000*$H$8+$M47*Backup!$J$7/1000*$H$9+$N47*Backup!$J$8/1000*$H$10</f>
        <v>0</v>
      </c>
      <c r="Q47" s="428">
        <f>$J47*$J$6+$K47*Backup!$J$5/1000*$J$7+$L47*Backup!$J$6/1000*$J$8+$M47*Backup!$J$7/1000*$J$9+$N47*Backup!$J$8/1000*$J$10</f>
        <v>0</v>
      </c>
      <c r="R47" s="428">
        <f>$J47*$L$6+$K47*Backup!$J$5/1000*$L$7+$L47*Backup!$J$6/1000*$L$8+$M47*Backup!$J$7/1000*$L$9+$N47*Backup!$J$8/1000*$L$10</f>
        <v>0</v>
      </c>
      <c r="S47" s="428">
        <f>$J47*$N$6+$K47*Backup!$J$5/1000*$N$7+$L47*Backup!$J$6/1000*$N$8+$M47*Backup!$J$7/1000*$N$9+$N47*Backup!$J$8/1000*$N$10</f>
        <v>0</v>
      </c>
      <c r="T47" s="429">
        <f t="shared" si="3"/>
        <v>0</v>
      </c>
      <c r="U47" s="159"/>
      <c r="V47" s="66"/>
    </row>
    <row r="48" spans="2:22" x14ac:dyDescent="0.3">
      <c r="B48" s="433">
        <v>30</v>
      </c>
      <c r="C48" s="434" t="str">
        <f>IF('4 Construction Scope'!D46&lt;&gt;"",'4 Construction Scope'!D46,"")</f>
        <v/>
      </c>
      <c r="D48" s="435"/>
      <c r="E48" s="424" t="str">
        <f>IF('4 Construction Scope'!D46="Renewable Energy System",'4 Construction Scope'!L46,IF('4 Construction Scope'!D46="Energy Efficiency Improvement",'4 Construction Scope'!J46,IF('4 Construction Scope'!D46="Eligible Soft Cost",'4 Construction Scope'!O46,IF('4 Construction Scope'!D46="Ancillary Measure – Required to Implement Energy Improvement",'4 Construction Scope'!N46,IF('4 Construction Scope'!D46="Ancillary Measure – Energy-Related Health and Safety",'4 Construction Scope'!N46,IF('4 Construction Scope'!D46="Prequalified Measure",'4 Construction Scope'!F46,""))))))</f>
        <v/>
      </c>
      <c r="F48" s="423"/>
      <c r="G48" s="425">
        <f>IF('4 Construction Scope'!V46&lt;&gt;"",'4 Construction Scope'!V46,"")</f>
        <v>0</v>
      </c>
      <c r="H48" s="426">
        <f t="shared" si="4"/>
        <v>0</v>
      </c>
      <c r="I48" s="427" t="str">
        <f t="shared" si="2"/>
        <v/>
      </c>
      <c r="J48" s="65"/>
      <c r="K48" s="65"/>
      <c r="L48" s="36"/>
      <c r="M48" s="65"/>
      <c r="N48" s="65"/>
      <c r="O48" s="428">
        <f>(J48*Backup!$J$4+K48*Backup!$J$5+L48*Backup!$J$6+M48*Backup!$J$7+N48*Backup!$J$8)/1000</f>
        <v>0</v>
      </c>
      <c r="P48" s="428">
        <f>$J48*$H$6+$K48*Backup!$J$5/1000*$H$7+$L48*Backup!$J$6/1000*$H$8+$M48*Backup!$J$7/1000*$H$9+$N48*Backup!$J$8/1000*$H$10</f>
        <v>0</v>
      </c>
      <c r="Q48" s="428">
        <f>$J48*$J$6+$K48*Backup!$J$5/1000*$J$7+$L48*Backup!$J$6/1000*$J$8+$M48*Backup!$J$7/1000*$J$9+$N48*Backup!$J$8/1000*$J$10</f>
        <v>0</v>
      </c>
      <c r="R48" s="428">
        <f>$J48*$L$6+$K48*Backup!$J$5/1000*$L$7+$L48*Backup!$J$6/1000*$L$8+$M48*Backup!$J$7/1000*$L$9+$N48*Backup!$J$8/1000*$L$10</f>
        <v>0</v>
      </c>
      <c r="S48" s="428">
        <f>$J48*$N$6+$K48*Backup!$J$5/1000*$N$7+$L48*Backup!$J$6/1000*$N$8+$M48*Backup!$J$7/1000*$N$9+$N48*Backup!$J$8/1000*$N$10</f>
        <v>0</v>
      </c>
      <c r="T48" s="429">
        <f t="shared" si="3"/>
        <v>0</v>
      </c>
      <c r="U48" s="159"/>
      <c r="V48" s="66"/>
    </row>
    <row r="49" spans="2:22" x14ac:dyDescent="0.3">
      <c r="B49" s="433">
        <v>31</v>
      </c>
      <c r="C49" s="434" t="str">
        <f>IF('4 Construction Scope'!D47&lt;&gt;"",'4 Construction Scope'!D47,"")</f>
        <v/>
      </c>
      <c r="D49" s="435"/>
      <c r="E49" s="424" t="str">
        <f>IF('4 Construction Scope'!D47="Renewable Energy System",'4 Construction Scope'!L47,IF('4 Construction Scope'!D47="Energy Efficiency Improvement",'4 Construction Scope'!J47,IF('4 Construction Scope'!D47="Eligible Soft Cost",'4 Construction Scope'!O47,IF('4 Construction Scope'!D47="Ancillary Measure – Required to Implement Energy Improvement",'4 Construction Scope'!N47,IF('4 Construction Scope'!D47="Ancillary Measure – Energy-Related Health and Safety",'4 Construction Scope'!N47,IF('4 Construction Scope'!D47="Prequalified Measure",'4 Construction Scope'!F47,""))))))</f>
        <v/>
      </c>
      <c r="F49" s="423"/>
      <c r="G49" s="425">
        <f>IF('4 Construction Scope'!V47&lt;&gt;"",'4 Construction Scope'!V47,"")</f>
        <v>0</v>
      </c>
      <c r="H49" s="426">
        <f t="shared" si="4"/>
        <v>0</v>
      </c>
      <c r="I49" s="427" t="str">
        <f t="shared" si="2"/>
        <v/>
      </c>
      <c r="J49" s="65"/>
      <c r="K49" s="65"/>
      <c r="L49" s="36"/>
      <c r="M49" s="65"/>
      <c r="N49" s="65"/>
      <c r="O49" s="428">
        <f>(J49*Backup!$J$4+K49*Backup!$J$5+L49*Backup!$J$6+M49*Backup!$J$7+N49*Backup!$J$8)/1000</f>
        <v>0</v>
      </c>
      <c r="P49" s="428">
        <f>$J49*$H$6+$K49*Backup!$J$5/1000*$H$7+$L49*Backup!$J$6/1000*$H$8+$M49*Backup!$J$7/1000*$H$9+$N49*Backup!$J$8/1000*$H$10</f>
        <v>0</v>
      </c>
      <c r="Q49" s="428">
        <f>$J49*$J$6+$K49*Backup!$J$5/1000*$J$7+$L49*Backup!$J$6/1000*$J$8+$M49*Backup!$J$7/1000*$J$9+$N49*Backup!$J$8/1000*$J$10</f>
        <v>0</v>
      </c>
      <c r="R49" s="428">
        <f>$J49*$L$6+$K49*Backup!$J$5/1000*$L$7+$L49*Backup!$J$6/1000*$L$8+$M49*Backup!$J$7/1000*$L$9+$N49*Backup!$J$8/1000*$L$10</f>
        <v>0</v>
      </c>
      <c r="S49" s="428">
        <f>$J49*$N$6+$K49*Backup!$J$5/1000*$N$7+$L49*Backup!$J$6/1000*$N$8+$M49*Backup!$J$7/1000*$N$9+$N49*Backup!$J$8/1000*$N$10</f>
        <v>0</v>
      </c>
      <c r="T49" s="429">
        <f t="shared" si="3"/>
        <v>0</v>
      </c>
      <c r="U49" s="159"/>
      <c r="V49" s="66"/>
    </row>
    <row r="50" spans="2:22" x14ac:dyDescent="0.3">
      <c r="B50" s="433">
        <v>32</v>
      </c>
      <c r="C50" s="434" t="str">
        <f>IF('4 Construction Scope'!D48&lt;&gt;"",'4 Construction Scope'!D48,"")</f>
        <v/>
      </c>
      <c r="D50" s="435"/>
      <c r="E50" s="424" t="str">
        <f>IF('4 Construction Scope'!D48="Renewable Energy System",'4 Construction Scope'!L48,IF('4 Construction Scope'!D48="Energy Efficiency Improvement",'4 Construction Scope'!J48,IF('4 Construction Scope'!D48="Eligible Soft Cost",'4 Construction Scope'!O48,IF('4 Construction Scope'!D48="Ancillary Measure – Required to Implement Energy Improvement",'4 Construction Scope'!N48,IF('4 Construction Scope'!D48="Ancillary Measure – Energy-Related Health and Safety",'4 Construction Scope'!N48,IF('4 Construction Scope'!D48="Prequalified Measure",'4 Construction Scope'!F48,""))))))</f>
        <v/>
      </c>
      <c r="F50" s="423"/>
      <c r="G50" s="425">
        <f>IF('4 Construction Scope'!V48&lt;&gt;"",'4 Construction Scope'!V48,"")</f>
        <v>0</v>
      </c>
      <c r="H50" s="426">
        <f t="shared" si="4"/>
        <v>0</v>
      </c>
      <c r="I50" s="427" t="str">
        <f t="shared" si="2"/>
        <v/>
      </c>
      <c r="J50" s="65"/>
      <c r="K50" s="65"/>
      <c r="L50" s="36"/>
      <c r="M50" s="65"/>
      <c r="N50" s="65"/>
      <c r="O50" s="428">
        <f>(J50*Backup!$J$4+K50*Backup!$J$5+L50*Backup!$J$6+M50*Backup!$J$7+N50*Backup!$J$8)/1000</f>
        <v>0</v>
      </c>
      <c r="P50" s="428">
        <f>$J50*$H$6+$K50*Backup!$J$5/1000*$H$7+$L50*Backup!$J$6/1000*$H$8+$M50*Backup!$J$7/1000*$H$9+$N50*Backup!$J$8/1000*$H$10</f>
        <v>0</v>
      </c>
      <c r="Q50" s="428">
        <f>$J50*$J$6+$K50*Backup!$J$5/1000*$J$7+$L50*Backup!$J$6/1000*$J$8+$M50*Backup!$J$7/1000*$J$9+$N50*Backup!$J$8/1000*$J$10</f>
        <v>0</v>
      </c>
      <c r="R50" s="428">
        <f>$J50*$L$6+$K50*Backup!$J$5/1000*$L$7+$L50*Backup!$J$6/1000*$L$8+$M50*Backup!$J$7/1000*$L$9+$N50*Backup!$J$8/1000*$L$10</f>
        <v>0</v>
      </c>
      <c r="S50" s="428">
        <f>$J50*$N$6+$K50*Backup!$J$5/1000*$N$7+$L50*Backup!$J$6/1000*$N$8+$M50*Backup!$J$7/1000*$N$9+$N50*Backup!$J$8/1000*$N$10</f>
        <v>0</v>
      </c>
      <c r="T50" s="429">
        <f t="shared" si="3"/>
        <v>0</v>
      </c>
      <c r="U50" s="159"/>
      <c r="V50" s="66"/>
    </row>
    <row r="51" spans="2:22" x14ac:dyDescent="0.3">
      <c r="B51" s="433">
        <v>33</v>
      </c>
      <c r="C51" s="434" t="str">
        <f>IF('4 Construction Scope'!D49&lt;&gt;"",'4 Construction Scope'!D49,"")</f>
        <v/>
      </c>
      <c r="D51" s="435"/>
      <c r="E51" s="424" t="str">
        <f>IF('4 Construction Scope'!D49="Renewable Energy System",'4 Construction Scope'!L49,IF('4 Construction Scope'!D49="Energy Efficiency Improvement",'4 Construction Scope'!J49,IF('4 Construction Scope'!D49="Eligible Soft Cost",'4 Construction Scope'!O49,IF('4 Construction Scope'!D49="Ancillary Measure – Required to Implement Energy Improvement",'4 Construction Scope'!N49,IF('4 Construction Scope'!D49="Ancillary Measure – Energy-Related Health and Safety",'4 Construction Scope'!N49,IF('4 Construction Scope'!D49="Prequalified Measure",'4 Construction Scope'!F49,""))))))</f>
        <v/>
      </c>
      <c r="F51" s="423"/>
      <c r="G51" s="425">
        <f>IF('4 Construction Scope'!V49&lt;&gt;"",'4 Construction Scope'!V49,"")</f>
        <v>0</v>
      </c>
      <c r="H51" s="426">
        <f t="shared" ref="H51:H68" si="5">T51+U51</f>
        <v>0</v>
      </c>
      <c r="I51" s="427" t="str">
        <f t="shared" si="2"/>
        <v/>
      </c>
      <c r="J51" s="65"/>
      <c r="K51" s="65"/>
      <c r="L51" s="36"/>
      <c r="M51" s="65"/>
      <c r="N51" s="65"/>
      <c r="O51" s="428">
        <f>(J51*Backup!$J$4+K51*Backup!$J$5+L51*Backup!$J$6+M51*Backup!$J$7+N51*Backup!$J$8)/1000</f>
        <v>0</v>
      </c>
      <c r="P51" s="428">
        <f>$J51*$H$6+$K51*Backup!$J$5/1000*$H$7+$L51*Backup!$J$6/1000*$H$8+$M51*Backup!$J$7/1000*$H$9+$N51*Backup!$J$8/1000*$H$10</f>
        <v>0</v>
      </c>
      <c r="Q51" s="428">
        <f>$J51*$J$6+$K51*Backup!$J$5/1000*$J$7+$L51*Backup!$J$6/1000*$J$8+$M51*Backup!$J$7/1000*$J$9+$N51*Backup!$J$8/1000*$J$10</f>
        <v>0</v>
      </c>
      <c r="R51" s="428">
        <f>$J51*$L$6+$K51*Backup!$J$5/1000*$L$7+$L51*Backup!$J$6/1000*$L$8+$M51*Backup!$J$7/1000*$L$9+$N51*Backup!$J$8/1000*$L$10</f>
        <v>0</v>
      </c>
      <c r="S51" s="428">
        <f>$J51*$N$6+$K51*Backup!$J$5/1000*$N$7+$L51*Backup!$J$6/1000*$N$8+$M51*Backup!$J$7/1000*$N$9+$N51*Backup!$J$8/1000*$N$10</f>
        <v>0</v>
      </c>
      <c r="T51" s="429">
        <f t="shared" si="3"/>
        <v>0</v>
      </c>
      <c r="U51" s="159"/>
      <c r="V51" s="66"/>
    </row>
    <row r="52" spans="2:22" x14ac:dyDescent="0.3">
      <c r="B52" s="433">
        <v>34</v>
      </c>
      <c r="C52" s="434" t="str">
        <f>IF('4 Construction Scope'!D50&lt;&gt;"",'4 Construction Scope'!D50,"")</f>
        <v/>
      </c>
      <c r="D52" s="435"/>
      <c r="E52" s="424" t="str">
        <f>IF('4 Construction Scope'!D50="Renewable Energy System",'4 Construction Scope'!L50,IF('4 Construction Scope'!D50="Energy Efficiency Improvement",'4 Construction Scope'!J50,IF('4 Construction Scope'!D50="Eligible Soft Cost",'4 Construction Scope'!O50,IF('4 Construction Scope'!D50="Ancillary Measure – Required to Implement Energy Improvement",'4 Construction Scope'!N50,IF('4 Construction Scope'!D50="Ancillary Measure – Energy-Related Health and Safety",'4 Construction Scope'!N50,IF('4 Construction Scope'!D50="Prequalified Measure",'4 Construction Scope'!F50,""))))))</f>
        <v/>
      </c>
      <c r="F52" s="423"/>
      <c r="G52" s="425">
        <f>IF('4 Construction Scope'!V50&lt;&gt;"",'4 Construction Scope'!V50,"")</f>
        <v>0</v>
      </c>
      <c r="H52" s="426">
        <f t="shared" si="5"/>
        <v>0</v>
      </c>
      <c r="I52" s="427" t="str">
        <f t="shared" si="2"/>
        <v/>
      </c>
      <c r="J52" s="65"/>
      <c r="K52" s="65"/>
      <c r="L52" s="36"/>
      <c r="M52" s="65"/>
      <c r="N52" s="65"/>
      <c r="O52" s="428">
        <f>(J52*Backup!$J$4+K52*Backup!$J$5+L52*Backup!$J$6+M52*Backup!$J$7+N52*Backup!$J$8)/1000</f>
        <v>0</v>
      </c>
      <c r="P52" s="428">
        <f>$J52*$H$6+$K52*Backup!$J$5/1000*$H$7+$L52*Backup!$J$6/1000*$H$8+$M52*Backup!$J$7/1000*$H$9+$N52*Backup!$J$8/1000*$H$10</f>
        <v>0</v>
      </c>
      <c r="Q52" s="428">
        <f>$J52*$J$6+$K52*Backup!$J$5/1000*$J$7+$L52*Backup!$J$6/1000*$J$8+$M52*Backup!$J$7/1000*$J$9+$N52*Backup!$J$8/1000*$J$10</f>
        <v>0</v>
      </c>
      <c r="R52" s="428">
        <f>$J52*$L$6+$K52*Backup!$J$5/1000*$L$7+$L52*Backup!$J$6/1000*$L$8+$M52*Backup!$J$7/1000*$L$9+$N52*Backup!$J$8/1000*$L$10</f>
        <v>0</v>
      </c>
      <c r="S52" s="428">
        <f>$J52*$N$6+$K52*Backup!$J$5/1000*$N$7+$L52*Backup!$J$6/1000*$N$8+$M52*Backup!$J$7/1000*$N$9+$N52*Backup!$J$8/1000*$N$10</f>
        <v>0</v>
      </c>
      <c r="T52" s="429">
        <f t="shared" si="3"/>
        <v>0</v>
      </c>
      <c r="U52" s="159"/>
      <c r="V52" s="66"/>
    </row>
    <row r="53" spans="2:22" x14ac:dyDescent="0.3">
      <c r="B53" s="433">
        <v>35</v>
      </c>
      <c r="C53" s="434" t="str">
        <f>IF('4 Construction Scope'!D51&lt;&gt;"",'4 Construction Scope'!D51,"")</f>
        <v/>
      </c>
      <c r="D53" s="435"/>
      <c r="E53" s="424" t="str">
        <f>IF('4 Construction Scope'!D51="Renewable Energy System",'4 Construction Scope'!L51,IF('4 Construction Scope'!D51="Energy Efficiency Improvement",'4 Construction Scope'!J51,IF('4 Construction Scope'!D51="Eligible Soft Cost",'4 Construction Scope'!O51,IF('4 Construction Scope'!D51="Ancillary Measure – Required to Implement Energy Improvement",'4 Construction Scope'!N51,IF('4 Construction Scope'!D51="Ancillary Measure – Energy-Related Health and Safety",'4 Construction Scope'!N51,IF('4 Construction Scope'!D51="Prequalified Measure",'4 Construction Scope'!F51,""))))))</f>
        <v/>
      </c>
      <c r="F53" s="423"/>
      <c r="G53" s="425">
        <f>IF('4 Construction Scope'!V51&lt;&gt;"",'4 Construction Scope'!V51,"")</f>
        <v>0</v>
      </c>
      <c r="H53" s="426">
        <f t="shared" si="5"/>
        <v>0</v>
      </c>
      <c r="I53" s="427" t="str">
        <f t="shared" si="2"/>
        <v/>
      </c>
      <c r="J53" s="65"/>
      <c r="K53" s="65"/>
      <c r="L53" s="36"/>
      <c r="M53" s="65"/>
      <c r="N53" s="65"/>
      <c r="O53" s="428">
        <f>(J53*Backup!$J$4+K53*Backup!$J$5+L53*Backup!$J$6+M53*Backup!$J$7+N53*Backup!$J$8)/1000</f>
        <v>0</v>
      </c>
      <c r="P53" s="428">
        <f>$J53*$H$6+$K53*Backup!$J$5/1000*$H$7+$L53*Backup!$J$6/1000*$H$8+$M53*Backup!$J$7/1000*$H$9+$N53*Backup!$J$8/1000*$H$10</f>
        <v>0</v>
      </c>
      <c r="Q53" s="428">
        <f>$J53*$J$6+$K53*Backup!$J$5/1000*$J$7+$L53*Backup!$J$6/1000*$J$8+$M53*Backup!$J$7/1000*$J$9+$N53*Backup!$J$8/1000*$J$10</f>
        <v>0</v>
      </c>
      <c r="R53" s="428">
        <f>$J53*$L$6+$K53*Backup!$J$5/1000*$L$7+$L53*Backup!$J$6/1000*$L$8+$M53*Backup!$J$7/1000*$L$9+$N53*Backup!$J$8/1000*$L$10</f>
        <v>0</v>
      </c>
      <c r="S53" s="428">
        <f>$J53*$N$6+$K53*Backup!$J$5/1000*$N$7+$L53*Backup!$J$6/1000*$N$8+$M53*Backup!$J$7/1000*$N$9+$N53*Backup!$J$8/1000*$N$10</f>
        <v>0</v>
      </c>
      <c r="T53" s="429">
        <f t="shared" si="3"/>
        <v>0</v>
      </c>
      <c r="U53" s="159"/>
      <c r="V53" s="66"/>
    </row>
    <row r="54" spans="2:22" x14ac:dyDescent="0.3">
      <c r="B54" s="433">
        <v>36</v>
      </c>
      <c r="C54" s="434" t="str">
        <f>IF('4 Construction Scope'!D52&lt;&gt;"",'4 Construction Scope'!D52,"")</f>
        <v/>
      </c>
      <c r="D54" s="435"/>
      <c r="E54" s="424" t="str">
        <f>IF('4 Construction Scope'!D52="Renewable Energy System",'4 Construction Scope'!L52,IF('4 Construction Scope'!D52="Energy Efficiency Improvement",'4 Construction Scope'!J52,IF('4 Construction Scope'!D52="Eligible Soft Cost",'4 Construction Scope'!O52,IF('4 Construction Scope'!D52="Ancillary Measure – Required to Implement Energy Improvement",'4 Construction Scope'!N52,IF('4 Construction Scope'!D52="Ancillary Measure – Energy-Related Health and Safety",'4 Construction Scope'!N52,IF('4 Construction Scope'!D52="Prequalified Measure",'4 Construction Scope'!F52,""))))))</f>
        <v/>
      </c>
      <c r="F54" s="423"/>
      <c r="G54" s="425">
        <f>IF('4 Construction Scope'!V52&lt;&gt;"",'4 Construction Scope'!V52,"")</f>
        <v>0</v>
      </c>
      <c r="H54" s="426">
        <f t="shared" si="5"/>
        <v>0</v>
      </c>
      <c r="I54" s="427" t="str">
        <f t="shared" si="2"/>
        <v/>
      </c>
      <c r="J54" s="65"/>
      <c r="K54" s="65"/>
      <c r="L54" s="36"/>
      <c r="M54" s="65"/>
      <c r="N54" s="65"/>
      <c r="O54" s="428">
        <f>(J54*Backup!$J$4+K54*Backup!$J$5+L54*Backup!$J$6+M54*Backup!$J$7+N54*Backup!$J$8)/1000</f>
        <v>0</v>
      </c>
      <c r="P54" s="428">
        <f>$J54*$H$6+$K54*Backup!$J$5/1000*$H$7+$L54*Backup!$J$6/1000*$H$8+$M54*Backup!$J$7/1000*$H$9+$N54*Backup!$J$8/1000*$H$10</f>
        <v>0</v>
      </c>
      <c r="Q54" s="428">
        <f>$J54*$J$6+$K54*Backup!$J$5/1000*$J$7+$L54*Backup!$J$6/1000*$J$8+$M54*Backup!$J$7/1000*$J$9+$N54*Backup!$J$8/1000*$J$10</f>
        <v>0</v>
      </c>
      <c r="R54" s="428">
        <f>$J54*$L$6+$K54*Backup!$J$5/1000*$L$7+$L54*Backup!$J$6/1000*$L$8+$M54*Backup!$J$7/1000*$L$9+$N54*Backup!$J$8/1000*$L$10</f>
        <v>0</v>
      </c>
      <c r="S54" s="428">
        <f>$J54*$N$6+$K54*Backup!$J$5/1000*$N$7+$L54*Backup!$J$6/1000*$N$8+$M54*Backup!$J$7/1000*$N$9+$N54*Backup!$J$8/1000*$N$10</f>
        <v>0</v>
      </c>
      <c r="T54" s="429">
        <f t="shared" si="3"/>
        <v>0</v>
      </c>
      <c r="U54" s="159"/>
      <c r="V54" s="66"/>
    </row>
    <row r="55" spans="2:22" x14ac:dyDescent="0.3">
      <c r="B55" s="433">
        <v>37</v>
      </c>
      <c r="C55" s="434" t="str">
        <f>IF('4 Construction Scope'!D53&lt;&gt;"",'4 Construction Scope'!D53,"")</f>
        <v/>
      </c>
      <c r="D55" s="435"/>
      <c r="E55" s="424" t="str">
        <f>IF('4 Construction Scope'!D53="Renewable Energy System",'4 Construction Scope'!L53,IF('4 Construction Scope'!D53="Energy Efficiency Improvement",'4 Construction Scope'!J53,IF('4 Construction Scope'!D53="Eligible Soft Cost",'4 Construction Scope'!O53,IF('4 Construction Scope'!D53="Ancillary Measure – Required to Implement Energy Improvement",'4 Construction Scope'!N53,IF('4 Construction Scope'!D53="Ancillary Measure – Energy-Related Health and Safety",'4 Construction Scope'!N53,IF('4 Construction Scope'!D53="Prequalified Measure",'4 Construction Scope'!F53,""))))))</f>
        <v/>
      </c>
      <c r="F55" s="423"/>
      <c r="G55" s="425">
        <f>IF('4 Construction Scope'!V53&lt;&gt;"",'4 Construction Scope'!V53,"")</f>
        <v>0</v>
      </c>
      <c r="H55" s="426">
        <f t="shared" si="5"/>
        <v>0</v>
      </c>
      <c r="I55" s="427" t="str">
        <f t="shared" si="2"/>
        <v/>
      </c>
      <c r="J55" s="65"/>
      <c r="K55" s="65"/>
      <c r="L55" s="36"/>
      <c r="M55" s="65"/>
      <c r="N55" s="65"/>
      <c r="O55" s="428">
        <f>(J55*Backup!$J$4+K55*Backup!$J$5+L55*Backup!$J$6+M55*Backup!$J$7+N55*Backup!$J$8)/1000</f>
        <v>0</v>
      </c>
      <c r="P55" s="428">
        <f>$J55*$H$6+$K55*Backup!$J$5/1000*$H$7+$L55*Backup!$J$6/1000*$H$8+$M55*Backup!$J$7/1000*$H$9+$N55*Backup!$J$8/1000*$H$10</f>
        <v>0</v>
      </c>
      <c r="Q55" s="428">
        <f>$J55*$J$6+$K55*Backup!$J$5/1000*$J$7+$L55*Backup!$J$6/1000*$J$8+$M55*Backup!$J$7/1000*$J$9+$N55*Backup!$J$8/1000*$J$10</f>
        <v>0</v>
      </c>
      <c r="R55" s="428">
        <f>$J55*$L$6+$K55*Backup!$J$5/1000*$L$7+$L55*Backup!$J$6/1000*$L$8+$M55*Backup!$J$7/1000*$L$9+$N55*Backup!$J$8/1000*$L$10</f>
        <v>0</v>
      </c>
      <c r="S55" s="428">
        <f>$J55*$N$6+$K55*Backup!$J$5/1000*$N$7+$L55*Backup!$J$6/1000*$N$8+$M55*Backup!$J$7/1000*$N$9+$N55*Backup!$J$8/1000*$N$10</f>
        <v>0</v>
      </c>
      <c r="T55" s="429">
        <f t="shared" si="3"/>
        <v>0</v>
      </c>
      <c r="U55" s="159"/>
      <c r="V55" s="66"/>
    </row>
    <row r="56" spans="2:22" x14ac:dyDescent="0.3">
      <c r="B56" s="433">
        <v>38</v>
      </c>
      <c r="C56" s="434" t="str">
        <f>IF('4 Construction Scope'!D54&lt;&gt;"",'4 Construction Scope'!D54,"")</f>
        <v/>
      </c>
      <c r="D56" s="435"/>
      <c r="E56" s="424" t="str">
        <f>IF('4 Construction Scope'!D54="Renewable Energy System",'4 Construction Scope'!L54,IF('4 Construction Scope'!D54="Energy Efficiency Improvement",'4 Construction Scope'!J54,IF('4 Construction Scope'!D54="Eligible Soft Cost",'4 Construction Scope'!O54,IF('4 Construction Scope'!D54="Ancillary Measure – Required to Implement Energy Improvement",'4 Construction Scope'!N54,IF('4 Construction Scope'!D54="Ancillary Measure – Energy-Related Health and Safety",'4 Construction Scope'!N54,IF('4 Construction Scope'!D54="Prequalified Measure",'4 Construction Scope'!F54,""))))))</f>
        <v/>
      </c>
      <c r="F56" s="423"/>
      <c r="G56" s="425">
        <f>IF('4 Construction Scope'!V54&lt;&gt;"",'4 Construction Scope'!V54,"")</f>
        <v>0</v>
      </c>
      <c r="H56" s="426">
        <f t="shared" si="5"/>
        <v>0</v>
      </c>
      <c r="I56" s="427" t="str">
        <f t="shared" si="2"/>
        <v/>
      </c>
      <c r="J56" s="65"/>
      <c r="K56" s="65"/>
      <c r="L56" s="36"/>
      <c r="M56" s="65"/>
      <c r="N56" s="65"/>
      <c r="O56" s="428">
        <f>(J56*Backup!$J$4+K56*Backup!$J$5+L56*Backup!$J$6+M56*Backup!$J$7+N56*Backup!$J$8)/1000</f>
        <v>0</v>
      </c>
      <c r="P56" s="428">
        <f>$J56*$H$6+$K56*Backup!$J$5/1000*$H$7+$L56*Backup!$J$6/1000*$H$8+$M56*Backup!$J$7/1000*$H$9+$N56*Backup!$J$8/1000*$H$10</f>
        <v>0</v>
      </c>
      <c r="Q56" s="428">
        <f>$J56*$J$6+$K56*Backup!$J$5/1000*$J$7+$L56*Backup!$J$6/1000*$J$8+$M56*Backup!$J$7/1000*$J$9+$N56*Backup!$J$8/1000*$J$10</f>
        <v>0</v>
      </c>
      <c r="R56" s="428">
        <f>$J56*$L$6+$K56*Backup!$J$5/1000*$L$7+$L56*Backup!$J$6/1000*$L$8+$M56*Backup!$J$7/1000*$L$9+$N56*Backup!$J$8/1000*$L$10</f>
        <v>0</v>
      </c>
      <c r="S56" s="428">
        <f>$J56*$N$6+$K56*Backup!$J$5/1000*$N$7+$L56*Backup!$J$6/1000*$N$8+$M56*Backup!$J$7/1000*$N$9+$N56*Backup!$J$8/1000*$N$10</f>
        <v>0</v>
      </c>
      <c r="T56" s="429">
        <f t="shared" si="3"/>
        <v>0</v>
      </c>
      <c r="U56" s="159"/>
      <c r="V56" s="66"/>
    </row>
    <row r="57" spans="2:22" x14ac:dyDescent="0.3">
      <c r="B57" s="433">
        <v>39</v>
      </c>
      <c r="C57" s="434" t="str">
        <f>IF('4 Construction Scope'!D55&lt;&gt;"",'4 Construction Scope'!D55,"")</f>
        <v/>
      </c>
      <c r="D57" s="435"/>
      <c r="E57" s="424" t="str">
        <f>IF('4 Construction Scope'!D55="Renewable Energy System",'4 Construction Scope'!L55,IF('4 Construction Scope'!D55="Energy Efficiency Improvement",'4 Construction Scope'!J55,IF('4 Construction Scope'!D55="Eligible Soft Cost",'4 Construction Scope'!O55,IF('4 Construction Scope'!D55="Ancillary Measure – Required to Implement Energy Improvement",'4 Construction Scope'!N55,IF('4 Construction Scope'!D55="Ancillary Measure – Energy-Related Health and Safety",'4 Construction Scope'!N55,IF('4 Construction Scope'!D55="Prequalified Measure",'4 Construction Scope'!F55,""))))))</f>
        <v/>
      </c>
      <c r="F57" s="423"/>
      <c r="G57" s="425">
        <f>IF('4 Construction Scope'!V55&lt;&gt;"",'4 Construction Scope'!V55,"")</f>
        <v>0</v>
      </c>
      <c r="H57" s="426">
        <f t="shared" si="5"/>
        <v>0</v>
      </c>
      <c r="I57" s="427" t="str">
        <f t="shared" si="2"/>
        <v/>
      </c>
      <c r="J57" s="65"/>
      <c r="K57" s="65"/>
      <c r="L57" s="36"/>
      <c r="M57" s="65"/>
      <c r="N57" s="65"/>
      <c r="O57" s="428">
        <f>(J57*Backup!$J$4+K57*Backup!$J$5+L57*Backup!$J$6+M57*Backup!$J$7+N57*Backup!$J$8)/1000</f>
        <v>0</v>
      </c>
      <c r="P57" s="428">
        <f>$J57*$H$6+$K57*Backup!$J$5/1000*$H$7+$L57*Backup!$J$6/1000*$H$8+$M57*Backup!$J$7/1000*$H$9+$N57*Backup!$J$8/1000*$H$10</f>
        <v>0</v>
      </c>
      <c r="Q57" s="428">
        <f>$J57*$J$6+$K57*Backup!$J$5/1000*$J$7+$L57*Backup!$J$6/1000*$J$8+$M57*Backup!$J$7/1000*$J$9+$N57*Backup!$J$8/1000*$J$10</f>
        <v>0</v>
      </c>
      <c r="R57" s="428">
        <f>$J57*$L$6+$K57*Backup!$J$5/1000*$L$7+$L57*Backup!$J$6/1000*$L$8+$M57*Backup!$J$7/1000*$L$9+$N57*Backup!$J$8/1000*$L$10</f>
        <v>0</v>
      </c>
      <c r="S57" s="428">
        <f>$J57*$N$6+$K57*Backup!$J$5/1000*$N$7+$L57*Backup!$J$6/1000*$N$8+$M57*Backup!$J$7/1000*$N$9+$N57*Backup!$J$8/1000*$N$10</f>
        <v>0</v>
      </c>
      <c r="T57" s="429">
        <f t="shared" si="3"/>
        <v>0</v>
      </c>
      <c r="U57" s="159"/>
      <c r="V57" s="66"/>
    </row>
    <row r="58" spans="2:22" x14ac:dyDescent="0.3">
      <c r="B58" s="433">
        <v>40</v>
      </c>
      <c r="C58" s="434" t="str">
        <f>IF('4 Construction Scope'!D56&lt;&gt;"",'4 Construction Scope'!D56,"")</f>
        <v/>
      </c>
      <c r="D58" s="435"/>
      <c r="E58" s="424" t="str">
        <f>IF('4 Construction Scope'!D56="Renewable Energy System",'4 Construction Scope'!L56,IF('4 Construction Scope'!D56="Energy Efficiency Improvement",'4 Construction Scope'!J56,IF('4 Construction Scope'!D56="Eligible Soft Cost",'4 Construction Scope'!O56,IF('4 Construction Scope'!D56="Ancillary Measure – Required to Implement Energy Improvement",'4 Construction Scope'!N56,IF('4 Construction Scope'!D56="Ancillary Measure – Energy-Related Health and Safety",'4 Construction Scope'!N56,IF('4 Construction Scope'!D56="Prequalified Measure",'4 Construction Scope'!F56,""))))))</f>
        <v/>
      </c>
      <c r="F58" s="423"/>
      <c r="G58" s="425">
        <f>IF('4 Construction Scope'!V56&lt;&gt;"",'4 Construction Scope'!V56,"")</f>
        <v>0</v>
      </c>
      <c r="H58" s="426">
        <f t="shared" si="5"/>
        <v>0</v>
      </c>
      <c r="I58" s="427" t="str">
        <f t="shared" si="2"/>
        <v/>
      </c>
      <c r="J58" s="65"/>
      <c r="K58" s="65"/>
      <c r="L58" s="36"/>
      <c r="M58" s="65"/>
      <c r="N58" s="65"/>
      <c r="O58" s="428">
        <f>(J58*Backup!$J$4+K58*Backup!$J$5+L58*Backup!$J$6+M58*Backup!$J$7+N58*Backup!$J$8)/1000</f>
        <v>0</v>
      </c>
      <c r="P58" s="428">
        <f>$J58*$H$6+$K58*Backup!$J$5/1000*$H$7+$L58*Backup!$J$6/1000*$H$8+$M58*Backup!$J$7/1000*$H$9+$N58*Backup!$J$8/1000*$H$10</f>
        <v>0</v>
      </c>
      <c r="Q58" s="428">
        <f>$J58*$J$6+$K58*Backup!$J$5/1000*$J$7+$L58*Backup!$J$6/1000*$J$8+$M58*Backup!$J$7/1000*$J$9+$N58*Backup!$J$8/1000*$J$10</f>
        <v>0</v>
      </c>
      <c r="R58" s="428">
        <f>$J58*$L$6+$K58*Backup!$J$5/1000*$L$7+$L58*Backup!$J$6/1000*$L$8+$M58*Backup!$J$7/1000*$L$9+$N58*Backup!$J$8/1000*$L$10</f>
        <v>0</v>
      </c>
      <c r="S58" s="428">
        <f>$J58*$N$6+$K58*Backup!$J$5/1000*$N$7+$L58*Backup!$J$6/1000*$N$8+$M58*Backup!$J$7/1000*$N$9+$N58*Backup!$J$8/1000*$N$10</f>
        <v>0</v>
      </c>
      <c r="T58" s="429">
        <f t="shared" si="3"/>
        <v>0</v>
      </c>
      <c r="U58" s="159"/>
      <c r="V58" s="66"/>
    </row>
    <row r="59" spans="2:22" x14ac:dyDescent="0.3">
      <c r="B59" s="433">
        <v>41</v>
      </c>
      <c r="C59" s="434" t="str">
        <f>IF('4 Construction Scope'!D57&lt;&gt;"",'4 Construction Scope'!D57,"")</f>
        <v/>
      </c>
      <c r="D59" s="435"/>
      <c r="E59" s="424" t="str">
        <f>IF('4 Construction Scope'!D57="Renewable Energy System",'4 Construction Scope'!L57,IF('4 Construction Scope'!D57="Energy Efficiency Improvement",'4 Construction Scope'!J57,IF('4 Construction Scope'!D57="Eligible Soft Cost",'4 Construction Scope'!O57,IF('4 Construction Scope'!D57="Ancillary Measure – Required to Implement Energy Improvement",'4 Construction Scope'!N57,IF('4 Construction Scope'!D57="Ancillary Measure – Energy-Related Health and Safety",'4 Construction Scope'!N57,IF('4 Construction Scope'!D57="Prequalified Measure",'4 Construction Scope'!F57,""))))))</f>
        <v/>
      </c>
      <c r="F59" s="423"/>
      <c r="G59" s="425">
        <f>IF('4 Construction Scope'!V57&lt;&gt;"",'4 Construction Scope'!V57,"")</f>
        <v>0</v>
      </c>
      <c r="H59" s="426">
        <f t="shared" si="5"/>
        <v>0</v>
      </c>
      <c r="I59" s="427" t="str">
        <f t="shared" si="2"/>
        <v/>
      </c>
      <c r="J59" s="65"/>
      <c r="K59" s="65"/>
      <c r="L59" s="36"/>
      <c r="M59" s="65"/>
      <c r="N59" s="65"/>
      <c r="O59" s="428">
        <f>(J59*Backup!$J$4+K59*Backup!$J$5+L59*Backup!$J$6+M59*Backup!$J$7+N59*Backup!$J$8)/1000</f>
        <v>0</v>
      </c>
      <c r="P59" s="428">
        <f>$J59*$H$6+$K59*Backup!$J$5/1000*$H$7+$L59*Backup!$J$6/1000*$H$8+$M59*Backup!$J$7/1000*$H$9+$N59*Backup!$J$8/1000*$H$10</f>
        <v>0</v>
      </c>
      <c r="Q59" s="428">
        <f>$J59*$J$6+$K59*Backup!$J$5/1000*$J$7+$L59*Backup!$J$6/1000*$J$8+$M59*Backup!$J$7/1000*$J$9+$N59*Backup!$J$8/1000*$J$10</f>
        <v>0</v>
      </c>
      <c r="R59" s="428">
        <f>$J59*$L$6+$K59*Backup!$J$5/1000*$L$7+$L59*Backup!$J$6/1000*$L$8+$M59*Backup!$J$7/1000*$L$9+$N59*Backup!$J$8/1000*$L$10</f>
        <v>0</v>
      </c>
      <c r="S59" s="428">
        <f>$J59*$N$6+$K59*Backup!$J$5/1000*$N$7+$L59*Backup!$J$6/1000*$N$8+$M59*Backup!$J$7/1000*$N$9+$N59*Backup!$J$8/1000*$N$10</f>
        <v>0</v>
      </c>
      <c r="T59" s="429">
        <f t="shared" si="3"/>
        <v>0</v>
      </c>
      <c r="U59" s="159"/>
      <c r="V59" s="66"/>
    </row>
    <row r="60" spans="2:22" x14ac:dyDescent="0.3">
      <c r="B60" s="433">
        <v>42</v>
      </c>
      <c r="C60" s="434" t="str">
        <f>IF('4 Construction Scope'!D58&lt;&gt;"",'4 Construction Scope'!D58,"")</f>
        <v/>
      </c>
      <c r="D60" s="435"/>
      <c r="E60" s="424" t="str">
        <f>IF('4 Construction Scope'!D58="Renewable Energy System",'4 Construction Scope'!L58,IF('4 Construction Scope'!D58="Energy Efficiency Improvement",'4 Construction Scope'!J58,IF('4 Construction Scope'!D58="Eligible Soft Cost",'4 Construction Scope'!O58,IF('4 Construction Scope'!D58="Ancillary Measure – Required to Implement Energy Improvement",'4 Construction Scope'!N58,IF('4 Construction Scope'!D58="Ancillary Measure – Energy-Related Health and Safety",'4 Construction Scope'!N58,IF('4 Construction Scope'!D58="Prequalified Measure",'4 Construction Scope'!F58,""))))))</f>
        <v/>
      </c>
      <c r="F60" s="423"/>
      <c r="G60" s="425">
        <f>IF('4 Construction Scope'!V58&lt;&gt;"",'4 Construction Scope'!V58,"")</f>
        <v>0</v>
      </c>
      <c r="H60" s="426">
        <f t="shared" si="5"/>
        <v>0</v>
      </c>
      <c r="I60" s="427" t="str">
        <f t="shared" si="2"/>
        <v/>
      </c>
      <c r="J60" s="65"/>
      <c r="K60" s="65"/>
      <c r="L60" s="36"/>
      <c r="M60" s="65"/>
      <c r="N60" s="65"/>
      <c r="O60" s="428">
        <f>(J60*Backup!$J$4+K60*Backup!$J$5+L60*Backup!$J$6+M60*Backup!$J$7+N60*Backup!$J$8)/1000</f>
        <v>0</v>
      </c>
      <c r="P60" s="428">
        <f>$J60*$H$6+$K60*Backup!$J$5/1000*$H$7+$L60*Backup!$J$6/1000*$H$8+$M60*Backup!$J$7/1000*$H$9+$N60*Backup!$J$8/1000*$H$10</f>
        <v>0</v>
      </c>
      <c r="Q60" s="428">
        <f>$J60*$J$6+$K60*Backup!$J$5/1000*$J$7+$L60*Backup!$J$6/1000*$J$8+$M60*Backup!$J$7/1000*$J$9+$N60*Backup!$J$8/1000*$J$10</f>
        <v>0</v>
      </c>
      <c r="R60" s="428">
        <f>$J60*$L$6+$K60*Backup!$J$5/1000*$L$7+$L60*Backup!$J$6/1000*$L$8+$M60*Backup!$J$7/1000*$L$9+$N60*Backup!$J$8/1000*$L$10</f>
        <v>0</v>
      </c>
      <c r="S60" s="428">
        <f>$J60*$N$6+$K60*Backup!$J$5/1000*$N$7+$L60*Backup!$J$6/1000*$N$8+$M60*Backup!$J$7/1000*$N$9+$N60*Backup!$J$8/1000*$N$10</f>
        <v>0</v>
      </c>
      <c r="T60" s="429">
        <f t="shared" si="3"/>
        <v>0</v>
      </c>
      <c r="U60" s="159"/>
      <c r="V60" s="66"/>
    </row>
    <row r="61" spans="2:22" x14ac:dyDescent="0.3">
      <c r="B61" s="433">
        <v>43</v>
      </c>
      <c r="C61" s="434" t="str">
        <f>IF('4 Construction Scope'!D59&lt;&gt;"",'4 Construction Scope'!D59,"")</f>
        <v/>
      </c>
      <c r="D61" s="435"/>
      <c r="E61" s="424" t="str">
        <f>IF('4 Construction Scope'!D59="Renewable Energy System",'4 Construction Scope'!L59,IF('4 Construction Scope'!D59="Energy Efficiency Improvement",'4 Construction Scope'!J59,IF('4 Construction Scope'!D59="Eligible Soft Cost",'4 Construction Scope'!O59,IF('4 Construction Scope'!D59="Ancillary Measure – Required to Implement Energy Improvement",'4 Construction Scope'!N59,IF('4 Construction Scope'!D59="Ancillary Measure – Energy-Related Health and Safety",'4 Construction Scope'!N59,IF('4 Construction Scope'!D59="Prequalified Measure",'4 Construction Scope'!F59,""))))))</f>
        <v/>
      </c>
      <c r="F61" s="423"/>
      <c r="G61" s="425">
        <f>IF('4 Construction Scope'!V59&lt;&gt;"",'4 Construction Scope'!V59,"")</f>
        <v>0</v>
      </c>
      <c r="H61" s="426">
        <f t="shared" si="5"/>
        <v>0</v>
      </c>
      <c r="I61" s="427" t="str">
        <f>IFERROR(G61/H61,"")</f>
        <v/>
      </c>
      <c r="J61" s="65"/>
      <c r="K61" s="65"/>
      <c r="L61" s="36"/>
      <c r="M61" s="65"/>
      <c r="N61" s="65"/>
      <c r="O61" s="428">
        <f>(J61*Backup!$J$4+K61*Backup!$J$5+L61*Backup!$J$6+M61*Backup!$J$7+N61*Backup!$J$8)/1000</f>
        <v>0</v>
      </c>
      <c r="P61" s="428">
        <f>$J61*$H$6+$K61*Backup!$J$5/1000*$H$7+$L61*Backup!$J$6/1000*$H$8+$M61*Backup!$J$7/1000*$H$9+$N61*Backup!$J$8/1000*$H$10</f>
        <v>0</v>
      </c>
      <c r="Q61" s="428">
        <f>$J61*$J$6+$K61*Backup!$J$5/1000*$J$7+$L61*Backup!$J$6/1000*$J$8+$M61*Backup!$J$7/1000*$J$9+$N61*Backup!$J$8/1000*$J$10</f>
        <v>0</v>
      </c>
      <c r="R61" s="428">
        <f>$J61*$L$6+$K61*Backup!$J$5/1000*$L$7+$L61*Backup!$J$6/1000*$L$8+$M61*Backup!$J$7/1000*$L$9+$N61*Backup!$J$8/1000*$L$10</f>
        <v>0</v>
      </c>
      <c r="S61" s="428">
        <f>$J61*$N$6+$K61*Backup!$J$5/1000*$N$7+$L61*Backup!$J$6/1000*$N$8+$M61*Backup!$J$7/1000*$N$9+$N61*Backup!$J$8/1000*$N$10</f>
        <v>0</v>
      </c>
      <c r="T61" s="429">
        <f t="shared" si="3"/>
        <v>0</v>
      </c>
      <c r="U61" s="159"/>
      <c r="V61" s="66"/>
    </row>
    <row r="62" spans="2:22" x14ac:dyDescent="0.3">
      <c r="B62" s="433">
        <v>44</v>
      </c>
      <c r="C62" s="434" t="str">
        <f>IF('4 Construction Scope'!D60&lt;&gt;"",'4 Construction Scope'!D60,"")</f>
        <v/>
      </c>
      <c r="D62" s="435"/>
      <c r="E62" s="424" t="str">
        <f>IF('4 Construction Scope'!D60="Renewable Energy System",'4 Construction Scope'!L60,IF('4 Construction Scope'!D60="Energy Efficiency Improvement",'4 Construction Scope'!J60,IF('4 Construction Scope'!D60="Eligible Soft Cost",'4 Construction Scope'!O60,IF('4 Construction Scope'!D60="Ancillary Measure – Required to Implement Energy Improvement",'4 Construction Scope'!N60,IF('4 Construction Scope'!D60="Ancillary Measure – Energy-Related Health and Safety",'4 Construction Scope'!N60,IF('4 Construction Scope'!D60="Prequalified Measure",'4 Construction Scope'!F60,""))))))</f>
        <v/>
      </c>
      <c r="F62" s="423"/>
      <c r="G62" s="425">
        <f>IF('4 Construction Scope'!V60&lt;&gt;"",'4 Construction Scope'!V60,"")</f>
        <v>0</v>
      </c>
      <c r="H62" s="426">
        <f t="shared" si="5"/>
        <v>0</v>
      </c>
      <c r="I62" s="427" t="str">
        <f t="shared" si="2"/>
        <v/>
      </c>
      <c r="J62" s="65"/>
      <c r="K62" s="65"/>
      <c r="L62" s="36"/>
      <c r="M62" s="65"/>
      <c r="N62" s="65"/>
      <c r="O62" s="428">
        <f>(J62*Backup!$J$4+K62*Backup!$J$5+L62*Backup!$J$6+M62*Backup!$J$7+N62*Backup!$J$8)/1000</f>
        <v>0</v>
      </c>
      <c r="P62" s="428">
        <f>$J62*$H$6+$K62*Backup!$J$5/1000*$H$7+$L62*Backup!$J$6/1000*$H$8+$M62*Backup!$J$7/1000*$H$9+$N62*Backup!$J$8/1000*$H$10</f>
        <v>0</v>
      </c>
      <c r="Q62" s="428">
        <f>$J62*$J$6+$K62*Backup!$J$5/1000*$J$7+$L62*Backup!$J$6/1000*$J$8+$M62*Backup!$J$7/1000*$J$9+$N62*Backup!$J$8/1000*$J$10</f>
        <v>0</v>
      </c>
      <c r="R62" s="428">
        <f>$J62*$L$6+$K62*Backup!$J$5/1000*$L$7+$L62*Backup!$J$6/1000*$L$8+$M62*Backup!$J$7/1000*$L$9+$N62*Backup!$J$8/1000*$L$10</f>
        <v>0</v>
      </c>
      <c r="S62" s="428">
        <f>$J62*$N$6+$K62*Backup!$J$5/1000*$N$7+$L62*Backup!$J$6/1000*$N$8+$M62*Backup!$J$7/1000*$N$9+$N62*Backup!$J$8/1000*$N$10</f>
        <v>0</v>
      </c>
      <c r="T62" s="429">
        <f t="shared" si="3"/>
        <v>0</v>
      </c>
      <c r="U62" s="159"/>
      <c r="V62" s="66"/>
    </row>
    <row r="63" spans="2:22" x14ac:dyDescent="0.3">
      <c r="B63" s="433">
        <v>45</v>
      </c>
      <c r="C63" s="434" t="str">
        <f>IF('4 Construction Scope'!D61&lt;&gt;"",'4 Construction Scope'!D61,"")</f>
        <v/>
      </c>
      <c r="D63" s="435"/>
      <c r="E63" s="424" t="str">
        <f>IF('4 Construction Scope'!D61="Renewable Energy System",'4 Construction Scope'!L61,IF('4 Construction Scope'!D61="Energy Efficiency Improvement",'4 Construction Scope'!J61,IF('4 Construction Scope'!D61="Eligible Soft Cost",'4 Construction Scope'!O61,IF('4 Construction Scope'!D61="Ancillary Measure – Required to Implement Energy Improvement",'4 Construction Scope'!N61,IF('4 Construction Scope'!D61="Ancillary Measure – Energy-Related Health and Safety",'4 Construction Scope'!N61,IF('4 Construction Scope'!D61="Prequalified Measure",'4 Construction Scope'!F61,""))))))</f>
        <v/>
      </c>
      <c r="F63" s="423"/>
      <c r="G63" s="425">
        <f>IF('4 Construction Scope'!V61&lt;&gt;"",'4 Construction Scope'!V61,"")</f>
        <v>0</v>
      </c>
      <c r="H63" s="426">
        <f t="shared" si="5"/>
        <v>0</v>
      </c>
      <c r="I63" s="427" t="str">
        <f t="shared" si="2"/>
        <v/>
      </c>
      <c r="J63" s="65"/>
      <c r="K63" s="65"/>
      <c r="L63" s="36"/>
      <c r="M63" s="65"/>
      <c r="N63" s="65"/>
      <c r="O63" s="428">
        <f>(J63*Backup!$J$4+K63*Backup!$J$5+L63*Backup!$J$6+M63*Backup!$J$7+N63*Backup!$J$8)/1000</f>
        <v>0</v>
      </c>
      <c r="P63" s="428">
        <f>$J63*$H$6+$K63*Backup!$J$5/1000*$H$7+$L63*Backup!$J$6/1000*$H$8+$M63*Backup!$J$7/1000*$H$9+$N63*Backup!$J$8/1000*$H$10</f>
        <v>0</v>
      </c>
      <c r="Q63" s="428">
        <f>$J63*$J$6+$K63*Backup!$J$5/1000*$J$7+$L63*Backup!$J$6/1000*$J$8+$M63*Backup!$J$7/1000*$J$9+$N63*Backup!$J$8/1000*$J$10</f>
        <v>0</v>
      </c>
      <c r="R63" s="428">
        <f>$J63*$L$6+$K63*Backup!$J$5/1000*$L$7+$L63*Backup!$J$6/1000*$L$8+$M63*Backup!$J$7/1000*$L$9+$N63*Backup!$J$8/1000*$L$10</f>
        <v>0</v>
      </c>
      <c r="S63" s="428">
        <f>$J63*$N$6+$K63*Backup!$J$5/1000*$N$7+$L63*Backup!$J$6/1000*$N$8+$M63*Backup!$J$7/1000*$N$9+$N63*Backup!$J$8/1000*$N$10</f>
        <v>0</v>
      </c>
      <c r="T63" s="429">
        <f t="shared" si="3"/>
        <v>0</v>
      </c>
      <c r="U63" s="159"/>
      <c r="V63" s="66"/>
    </row>
    <row r="64" spans="2:22" x14ac:dyDescent="0.3">
      <c r="B64" s="433">
        <v>46</v>
      </c>
      <c r="C64" s="434" t="str">
        <f>IF('4 Construction Scope'!D62&lt;&gt;"",'4 Construction Scope'!D62,"")</f>
        <v/>
      </c>
      <c r="D64" s="435"/>
      <c r="E64" s="424" t="str">
        <f>IF('4 Construction Scope'!D62="Renewable Energy System",'4 Construction Scope'!L62,IF('4 Construction Scope'!D62="Energy Efficiency Improvement",'4 Construction Scope'!J62,IF('4 Construction Scope'!D62="Eligible Soft Cost",'4 Construction Scope'!O62,IF('4 Construction Scope'!D62="Ancillary Measure – Required to Implement Energy Improvement",'4 Construction Scope'!N62,IF('4 Construction Scope'!D62="Ancillary Measure – Energy-Related Health and Safety",'4 Construction Scope'!N62,IF('4 Construction Scope'!D62="Prequalified Measure",'4 Construction Scope'!F62,""))))))</f>
        <v/>
      </c>
      <c r="F64" s="423"/>
      <c r="G64" s="425">
        <f>IF('4 Construction Scope'!V62&lt;&gt;"",'4 Construction Scope'!V62,"")</f>
        <v>0</v>
      </c>
      <c r="H64" s="426">
        <f t="shared" si="5"/>
        <v>0</v>
      </c>
      <c r="I64" s="427" t="str">
        <f t="shared" si="2"/>
        <v/>
      </c>
      <c r="J64" s="65"/>
      <c r="K64" s="65"/>
      <c r="L64" s="36"/>
      <c r="M64" s="65"/>
      <c r="N64" s="65"/>
      <c r="O64" s="428">
        <f>(J64*Backup!$J$4+K64*Backup!$J$5+L64*Backup!$J$6+M64*Backup!$J$7+N64*Backup!$J$8)/1000</f>
        <v>0</v>
      </c>
      <c r="P64" s="428">
        <f>$J64*$H$6+$K64*Backup!$J$5/1000*$H$7+$L64*Backup!$J$6/1000*$H$8+$M64*Backup!$J$7/1000*$H$9+$N64*Backup!$J$8/1000*$H$10</f>
        <v>0</v>
      </c>
      <c r="Q64" s="428">
        <f>$J64*$J$6+$K64*Backup!$J$5/1000*$J$7+$L64*Backup!$J$6/1000*$J$8+$M64*Backup!$J$7/1000*$J$9+$N64*Backup!$J$8/1000*$J$10</f>
        <v>0</v>
      </c>
      <c r="R64" s="428">
        <f>$J64*$L$6+$K64*Backup!$J$5/1000*$L$7+$L64*Backup!$J$6/1000*$L$8+$M64*Backup!$J$7/1000*$L$9+$N64*Backup!$J$8/1000*$L$10</f>
        <v>0</v>
      </c>
      <c r="S64" s="428">
        <f>$J64*$N$6+$K64*Backup!$J$5/1000*$N$7+$L64*Backup!$J$6/1000*$N$8+$M64*Backup!$J$7/1000*$N$9+$N64*Backup!$J$8/1000*$N$10</f>
        <v>0</v>
      </c>
      <c r="T64" s="429">
        <f t="shared" si="3"/>
        <v>0</v>
      </c>
      <c r="U64" s="159"/>
      <c r="V64" s="66"/>
    </row>
    <row r="65" spans="2:22" x14ac:dyDescent="0.3">
      <c r="B65" s="433">
        <v>47</v>
      </c>
      <c r="C65" s="434" t="str">
        <f>IF('4 Construction Scope'!D63&lt;&gt;"",'4 Construction Scope'!D63,"")</f>
        <v/>
      </c>
      <c r="D65" s="435"/>
      <c r="E65" s="424" t="str">
        <f>IF('4 Construction Scope'!D63="Renewable Energy System",'4 Construction Scope'!L63,IF('4 Construction Scope'!D63="Energy Efficiency Improvement",'4 Construction Scope'!J63,IF('4 Construction Scope'!D63="Eligible Soft Cost",'4 Construction Scope'!O63,IF('4 Construction Scope'!D63="Ancillary Measure – Required to Implement Energy Improvement",'4 Construction Scope'!N63,IF('4 Construction Scope'!D63="Ancillary Measure – Energy-Related Health and Safety",'4 Construction Scope'!N63,IF('4 Construction Scope'!D63="Prequalified Measure",'4 Construction Scope'!F63,""))))))</f>
        <v/>
      </c>
      <c r="F65" s="423"/>
      <c r="G65" s="425">
        <f>IF('4 Construction Scope'!V63&lt;&gt;"",'4 Construction Scope'!V63,"")</f>
        <v>0</v>
      </c>
      <c r="H65" s="426">
        <f t="shared" si="5"/>
        <v>0</v>
      </c>
      <c r="I65" s="427" t="str">
        <f t="shared" si="2"/>
        <v/>
      </c>
      <c r="J65" s="65"/>
      <c r="K65" s="65"/>
      <c r="L65" s="36"/>
      <c r="M65" s="65"/>
      <c r="N65" s="65"/>
      <c r="O65" s="428">
        <f>(J65*Backup!$J$4+K65*Backup!$J$5+L65*Backup!$J$6+M65*Backup!$J$7+N65*Backup!$J$8)/1000</f>
        <v>0</v>
      </c>
      <c r="P65" s="428">
        <f>$J65*$H$6+$K65*Backup!$J$5/1000*$H$7+$L65*Backup!$J$6/1000*$H$8+$M65*Backup!$J$7/1000*$H$9+$N65*Backup!$J$8/1000*$H$10</f>
        <v>0</v>
      </c>
      <c r="Q65" s="428">
        <f>$J65*$J$6+$K65*Backup!$J$5/1000*$J$7+$L65*Backup!$J$6/1000*$J$8+$M65*Backup!$J$7/1000*$J$9+$N65*Backup!$J$8/1000*$J$10</f>
        <v>0</v>
      </c>
      <c r="R65" s="428">
        <f>$J65*$L$6+$K65*Backup!$J$5/1000*$L$7+$L65*Backup!$J$6/1000*$L$8+$M65*Backup!$J$7/1000*$L$9+$N65*Backup!$J$8/1000*$L$10</f>
        <v>0</v>
      </c>
      <c r="S65" s="428">
        <f>$J65*$N$6+$K65*Backup!$J$5/1000*$N$7+$L65*Backup!$J$6/1000*$N$8+$M65*Backup!$J$7/1000*$N$9+$N65*Backup!$J$8/1000*$N$10</f>
        <v>0</v>
      </c>
      <c r="T65" s="429">
        <f t="shared" si="3"/>
        <v>0</v>
      </c>
      <c r="U65" s="159"/>
      <c r="V65" s="66"/>
    </row>
    <row r="66" spans="2:22" x14ac:dyDescent="0.3">
      <c r="B66" s="433">
        <v>48</v>
      </c>
      <c r="C66" s="434" t="str">
        <f>IF('4 Construction Scope'!D64&lt;&gt;"",'4 Construction Scope'!D64,"")</f>
        <v/>
      </c>
      <c r="D66" s="435"/>
      <c r="E66" s="424" t="str">
        <f>IF('4 Construction Scope'!D64="Renewable Energy System",'4 Construction Scope'!L64,IF('4 Construction Scope'!D64="Energy Efficiency Improvement",'4 Construction Scope'!J64,IF('4 Construction Scope'!D64="Eligible Soft Cost",'4 Construction Scope'!O64,IF('4 Construction Scope'!D64="Ancillary Measure – Required to Implement Energy Improvement",'4 Construction Scope'!N64,IF('4 Construction Scope'!D64="Ancillary Measure – Energy-Related Health and Safety",'4 Construction Scope'!N64,IF('4 Construction Scope'!D64="Prequalified Measure",'4 Construction Scope'!F64,""))))))</f>
        <v/>
      </c>
      <c r="F66" s="423"/>
      <c r="G66" s="425">
        <f>IF('4 Construction Scope'!V64&lt;&gt;"",'4 Construction Scope'!V64,"")</f>
        <v>0</v>
      </c>
      <c r="H66" s="426">
        <f t="shared" si="5"/>
        <v>0</v>
      </c>
      <c r="I66" s="427" t="str">
        <f t="shared" si="2"/>
        <v/>
      </c>
      <c r="J66" s="65"/>
      <c r="K66" s="65"/>
      <c r="L66" s="36"/>
      <c r="M66" s="65"/>
      <c r="N66" s="65"/>
      <c r="O66" s="428">
        <f>(J66*Backup!$J$4+K66*Backup!$J$5+L66*Backup!$J$6+M66*Backup!$J$7+N66*Backup!$J$8)/1000</f>
        <v>0</v>
      </c>
      <c r="P66" s="428">
        <f>$J66*$H$6+$K66*Backup!$J$5/1000*$H$7+$L66*Backup!$J$6/1000*$H$8+$M66*Backup!$J$7/1000*$H$9+$N66*Backup!$J$8/1000*$H$10</f>
        <v>0</v>
      </c>
      <c r="Q66" s="428">
        <f>$J66*$J$6+$K66*Backup!$J$5/1000*$J$7+$L66*Backup!$J$6/1000*$J$8+$M66*Backup!$J$7/1000*$J$9+$N66*Backup!$J$8/1000*$J$10</f>
        <v>0</v>
      </c>
      <c r="R66" s="428">
        <f>$J66*$L$6+$K66*Backup!$J$5/1000*$L$7+$L66*Backup!$J$6/1000*$L$8+$M66*Backup!$J$7/1000*$L$9+$N66*Backup!$J$8/1000*$L$10</f>
        <v>0</v>
      </c>
      <c r="S66" s="428">
        <f>$J66*$N$6+$K66*Backup!$J$5/1000*$N$7+$L66*Backup!$J$6/1000*$N$8+$M66*Backup!$J$7/1000*$N$9+$N66*Backup!$J$8/1000*$N$10</f>
        <v>0</v>
      </c>
      <c r="T66" s="429">
        <f t="shared" si="3"/>
        <v>0</v>
      </c>
      <c r="U66" s="159"/>
      <c r="V66" s="66"/>
    </row>
    <row r="67" spans="2:22" x14ac:dyDescent="0.3">
      <c r="B67" s="433">
        <v>49</v>
      </c>
      <c r="C67" s="434" t="str">
        <f>IF('4 Construction Scope'!D65&lt;&gt;"",'4 Construction Scope'!D65,"")</f>
        <v/>
      </c>
      <c r="D67" s="435"/>
      <c r="E67" s="424" t="str">
        <f>IF('4 Construction Scope'!D65="Renewable Energy System",'4 Construction Scope'!L65,IF('4 Construction Scope'!D65="Energy Efficiency Improvement",'4 Construction Scope'!J65,IF('4 Construction Scope'!D65="Eligible Soft Cost",'4 Construction Scope'!O65,IF('4 Construction Scope'!D65="Ancillary Measure – Required to Implement Energy Improvement",'4 Construction Scope'!N65,IF('4 Construction Scope'!D65="Ancillary Measure – Energy-Related Health and Safety",'4 Construction Scope'!N65,IF('4 Construction Scope'!D65="Prequalified Measure",'4 Construction Scope'!F65,""))))))</f>
        <v/>
      </c>
      <c r="F67" s="423"/>
      <c r="G67" s="425">
        <f>IF('4 Construction Scope'!V65&lt;&gt;"",'4 Construction Scope'!V65,"")</f>
        <v>0</v>
      </c>
      <c r="H67" s="426">
        <f t="shared" si="5"/>
        <v>0</v>
      </c>
      <c r="I67" s="427" t="str">
        <f t="shared" si="2"/>
        <v/>
      </c>
      <c r="J67" s="65"/>
      <c r="K67" s="65"/>
      <c r="L67" s="36"/>
      <c r="M67" s="65"/>
      <c r="N67" s="65"/>
      <c r="O67" s="428">
        <f>(J67*Backup!$J$4+K67*Backup!$J$5+L67*Backup!$J$6+M67*Backup!$J$7+N67*Backup!$J$8)/1000</f>
        <v>0</v>
      </c>
      <c r="P67" s="428">
        <f>$J67*$H$6+$K67*Backup!$J$5/1000*$H$7+$L67*Backup!$J$6/1000*$H$8+$M67*Backup!$J$7/1000*$H$9+$N67*Backup!$J$8/1000*$H$10</f>
        <v>0</v>
      </c>
      <c r="Q67" s="428">
        <f>$J67*$J$6+$K67*Backup!$J$5/1000*$J$7+$L67*Backup!$J$6/1000*$J$8+$M67*Backup!$J$7/1000*$J$9+$N67*Backup!$J$8/1000*$J$10</f>
        <v>0</v>
      </c>
      <c r="R67" s="428">
        <f>$J67*$L$6+$K67*Backup!$J$5/1000*$L$7+$L67*Backup!$J$6/1000*$L$8+$M67*Backup!$J$7/1000*$L$9+$N67*Backup!$J$8/1000*$L$10</f>
        <v>0</v>
      </c>
      <c r="S67" s="428">
        <f>$J67*$N$6+$K67*Backup!$J$5/1000*$N$7+$L67*Backup!$J$6/1000*$N$8+$M67*Backup!$J$7/1000*$N$9+$N67*Backup!$J$8/1000*$N$10</f>
        <v>0</v>
      </c>
      <c r="T67" s="429">
        <f t="shared" si="3"/>
        <v>0</v>
      </c>
      <c r="U67" s="159"/>
      <c r="V67" s="66"/>
    </row>
    <row r="68" spans="2:22" x14ac:dyDescent="0.3">
      <c r="B68" s="433">
        <v>50</v>
      </c>
      <c r="C68" s="434" t="str">
        <f>IF('4 Construction Scope'!D66&lt;&gt;"",'4 Construction Scope'!D66,"")</f>
        <v/>
      </c>
      <c r="D68" s="435"/>
      <c r="E68" s="424" t="str">
        <f>IF('4 Construction Scope'!D66="Renewable Energy System",'4 Construction Scope'!L66,IF('4 Construction Scope'!D66="Energy Efficiency Improvement",'4 Construction Scope'!J66,IF('4 Construction Scope'!D66="Eligible Soft Cost",'4 Construction Scope'!O66,IF('4 Construction Scope'!D66="Ancillary Measure – Required to Implement Energy Improvement",'4 Construction Scope'!N66,IF('4 Construction Scope'!D66="Ancillary Measure – Energy-Related Health and Safety",'4 Construction Scope'!N66,IF('4 Construction Scope'!D66="Prequalified Measure",'4 Construction Scope'!F66,""))))))</f>
        <v/>
      </c>
      <c r="F68" s="436"/>
      <c r="G68" s="425">
        <f>IF('4 Construction Scope'!V66&lt;&gt;"",'4 Construction Scope'!V66,"")</f>
        <v>0</v>
      </c>
      <c r="H68" s="426">
        <f t="shared" si="5"/>
        <v>0</v>
      </c>
      <c r="I68" s="427" t="str">
        <f t="shared" si="2"/>
        <v/>
      </c>
      <c r="J68" s="35"/>
      <c r="K68" s="35"/>
      <c r="L68" s="36"/>
      <c r="M68" s="35"/>
      <c r="N68" s="35"/>
      <c r="O68" s="428">
        <f>(J68*Backup!$J$4+K68*Backup!$J$5+L68*Backup!$J$6+M68*Backup!$J$7+N68*Backup!$J$8)/1000</f>
        <v>0</v>
      </c>
      <c r="P68" s="428">
        <f>$J68*$H$6+$K68*Backup!$J$5/1000*$H$7+$L68*Backup!$J$6/1000*$H$8+$M68*Backup!$J$7/1000*$H$9+$N68*Backup!$J$8/1000*$H$10</f>
        <v>0</v>
      </c>
      <c r="Q68" s="428">
        <f>$J68*$J$6+$K68*Backup!$J$5/1000*$J$7+$L68*Backup!$J$6/1000*$J$8+$M68*Backup!$J$7/1000*$J$9+$N68*Backup!$J$8/1000*$J$10</f>
        <v>0</v>
      </c>
      <c r="R68" s="428">
        <f>$J68*$L$6+$K68*Backup!$J$5/1000*$L$7+$L68*Backup!$J$6/1000*$L$8+$M68*Backup!$J$7/1000*$L$9+$N68*Backup!$J$8/1000*$L$10</f>
        <v>0</v>
      </c>
      <c r="S68" s="428">
        <f>$J68*$N$6+$K68*Backup!$J$5/1000*$N$7+$L68*Backup!$J$6/1000*$N$8+$M68*Backup!$J$7/1000*$N$9+$N68*Backup!$J$8/1000*$N$10</f>
        <v>0</v>
      </c>
      <c r="T68" s="429">
        <f t="shared" si="3"/>
        <v>0</v>
      </c>
      <c r="U68" s="159"/>
      <c r="V68" s="66"/>
    </row>
    <row r="69" spans="2:22" ht="15" thickBot="1" x14ac:dyDescent="0.35">
      <c r="B69" s="437"/>
      <c r="C69" s="438" t="s">
        <v>480</v>
      </c>
      <c r="D69" s="439"/>
      <c r="E69" s="440"/>
      <c r="F69" s="441"/>
      <c r="G69" s="442">
        <f>SUM(G19:G68)</f>
        <v>0</v>
      </c>
      <c r="H69" s="443">
        <f>SUM(H19:H68)</f>
        <v>0</v>
      </c>
      <c r="I69" s="444" t="str">
        <f>IFERROR(G69/H69,"")</f>
        <v/>
      </c>
      <c r="J69" s="445">
        <f t="shared" ref="J69:T69" si="6">SUM(J19:J68)</f>
        <v>0</v>
      </c>
      <c r="K69" s="445">
        <f t="shared" si="6"/>
        <v>0</v>
      </c>
      <c r="L69" s="445">
        <f t="shared" si="6"/>
        <v>0</v>
      </c>
      <c r="M69" s="445">
        <f t="shared" si="6"/>
        <v>0</v>
      </c>
      <c r="N69" s="445">
        <f t="shared" si="6"/>
        <v>0</v>
      </c>
      <c r="O69" s="446">
        <f t="shared" si="6"/>
        <v>0</v>
      </c>
      <c r="P69" s="446">
        <f>SUM(P19:P68)</f>
        <v>0</v>
      </c>
      <c r="Q69" s="446">
        <f t="shared" ref="Q69:S69" si="7">SUM(Q19:Q68)</f>
        <v>0</v>
      </c>
      <c r="R69" s="446">
        <f t="shared" si="7"/>
        <v>0</v>
      </c>
      <c r="S69" s="446">
        <f t="shared" si="7"/>
        <v>0</v>
      </c>
      <c r="T69" s="443">
        <f t="shared" si="6"/>
        <v>0</v>
      </c>
      <c r="U69" s="443">
        <f>SUM(U19:U68)</f>
        <v>0</v>
      </c>
      <c r="V69" s="447"/>
    </row>
    <row r="70" spans="2:22" x14ac:dyDescent="0.3">
      <c r="H70" s="448"/>
      <c r="I70" s="449"/>
      <c r="J70" s="343"/>
      <c r="K70" s="343"/>
      <c r="L70" s="343"/>
      <c r="M70" s="343"/>
      <c r="N70" s="343"/>
      <c r="O70" s="449"/>
      <c r="P70" s="449"/>
      <c r="Q70" s="449"/>
      <c r="R70" s="449"/>
      <c r="S70" s="449"/>
      <c r="T70" s="448"/>
      <c r="U70" s="448"/>
      <c r="V70" s="448"/>
    </row>
    <row r="71" spans="2:22" x14ac:dyDescent="0.3">
      <c r="T71" s="450" t="s">
        <v>711</v>
      </c>
      <c r="U71" s="451">
        <f>SUMIF(C19:C68,"&lt;&gt;Prequalified Measure",U19:U68)</f>
        <v>0</v>
      </c>
    </row>
    <row r="72" spans="2:22" s="330" customFormat="1" ht="12.75" customHeight="1" x14ac:dyDescent="0.3"/>
    <row r="73" spans="2:22" s="333" customFormat="1" ht="30.6" customHeight="1" x14ac:dyDescent="0.3">
      <c r="B73" s="331" t="s">
        <v>724</v>
      </c>
      <c r="C73" s="331"/>
      <c r="D73" s="331"/>
      <c r="E73" s="331"/>
      <c r="F73" s="331"/>
      <c r="G73" s="331"/>
      <c r="H73" s="331"/>
      <c r="I73" s="331"/>
      <c r="J73" s="331"/>
      <c r="K73" s="331"/>
      <c r="S73" s="452"/>
    </row>
    <row r="74" spans="2:22" s="333" customFormat="1" ht="30.6" customHeight="1" x14ac:dyDescent="0.3">
      <c r="B74" s="331" t="s">
        <v>682</v>
      </c>
      <c r="C74" s="331"/>
      <c r="D74" s="331"/>
      <c r="E74" s="331"/>
      <c r="F74" s="331"/>
      <c r="G74" s="331"/>
      <c r="H74" s="331"/>
      <c r="I74" s="331"/>
      <c r="J74" s="331"/>
      <c r="K74" s="331"/>
    </row>
    <row r="75" spans="2:22" s="333" customFormat="1" ht="18" customHeight="1" x14ac:dyDescent="0.3">
      <c r="B75" s="453" t="s">
        <v>582</v>
      </c>
    </row>
    <row r="76" spans="2:22" x14ac:dyDescent="0.3"/>
    <row r="77" spans="2:22" x14ac:dyDescent="0.3"/>
    <row r="78" spans="2:22" x14ac:dyDescent="0.3"/>
  </sheetData>
  <sheetProtection algorithmName="SHA-512" hashValue="tFjdwMBVSw0zoMPbJ1AqFw+qGardudl6J/L/YDPOUOrknXOBCYJBjF8Lht85E34bC1ZVNvPB3mTaN3zCI95YTQ==" saltValue="KdCEQgYC7Q15LXmgLOl0cQ==" spinCount="100000" sheet="1" objects="1" scenarios="1"/>
  <mergeCells count="17">
    <mergeCell ref="B6:C6"/>
    <mergeCell ref="N3:O3"/>
    <mergeCell ref="B73:K73"/>
    <mergeCell ref="B74:K74"/>
    <mergeCell ref="J3:K3"/>
    <mergeCell ref="L3:M3"/>
    <mergeCell ref="J16:V16"/>
    <mergeCell ref="H3:I3"/>
    <mergeCell ref="B17:D17"/>
    <mergeCell ref="B18:D18"/>
    <mergeCell ref="E17:F17"/>
    <mergeCell ref="E18:F18"/>
    <mergeCell ref="B4:C4"/>
    <mergeCell ref="B11:C11"/>
    <mergeCell ref="B9:C9"/>
    <mergeCell ref="B8:C8"/>
    <mergeCell ref="B7:C7"/>
  </mergeCells>
  <phoneticPr fontId="13" type="noConversion"/>
  <conditionalFormatting sqref="F6">
    <cfRule type="expression" dxfId="8" priority="13">
      <formula>IF(AND($E$6&gt;0,$F$6=0),TRUE,FALSE)</formula>
    </cfRule>
  </conditionalFormatting>
  <conditionalFormatting sqref="F7">
    <cfRule type="expression" dxfId="7" priority="11">
      <formula>IF(AND($E$7&gt;0,$F$7=0),TRUE,FALSE)</formula>
    </cfRule>
  </conditionalFormatting>
  <conditionalFormatting sqref="F8">
    <cfRule type="expression" dxfId="6" priority="10">
      <formula>IF(AND($E$8&gt;0,$F$8=0),TRUE,FALSE)</formula>
    </cfRule>
  </conditionalFormatting>
  <conditionalFormatting sqref="F9">
    <cfRule type="expression" dxfId="5" priority="9">
      <formula>IF(AND($E$9&gt;0,$F$9=0),TRUE,FALSE)</formula>
    </cfRule>
  </conditionalFormatting>
  <conditionalFormatting sqref="F10">
    <cfRule type="expression" dxfId="4" priority="5">
      <formula>IF(AND($E$10&gt;0,$F$10=0),TRUE,FALSE)</formula>
    </cfRule>
  </conditionalFormatting>
  <conditionalFormatting sqref="J19:N19 L19:L68 J20:K21 M20:N21 J22:N68">
    <cfRule type="expression" dxfId="3" priority="1">
      <formula>$C19="Ancillary Measure – Energy-Related Health and Safety"</formula>
    </cfRule>
    <cfRule type="expression" dxfId="2" priority="2">
      <formula>$C19="Ancillary Measure – Required to Implement Energy Improvement"</formula>
    </cfRule>
    <cfRule type="expression" dxfId="1" priority="3">
      <formula>$C19="Eligible Soft Cost"</formula>
    </cfRule>
    <cfRule type="expression" dxfId="0" priority="4">
      <formula>$E19="Install energy storage"</formula>
    </cfRule>
  </conditionalFormatting>
  <dataValidations count="1">
    <dataValidation type="list" allowBlank="1" showInputMessage="1" showErrorMessage="1" sqref="E14" xr:uid="{285E96E1-3CD6-4311-B59C-14E4FE408719}">
      <formula1>"Yes,No"</formula1>
    </dataValidation>
  </dataValidations>
  <hyperlinks>
    <hyperlink ref="B75" r:id="rId1" xr:uid="{03ED16F2-9552-4B1C-BF1F-F9A658AC8CA4}"/>
  </hyperlinks>
  <pageMargins left="0.7" right="0.7" top="0.75" bottom="0.75" header="0.3" footer="0.3"/>
  <pageSetup orientation="portrait" r:id="rId2"/>
  <ignoredErrors>
    <ignoredError sqref="M7:M10" formula="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6773-C011-45A6-BFE6-C8FE47C0F01D}">
  <sheetPr codeName="Sheet6">
    <tabColor theme="9" tint="0.79998168889431442"/>
  </sheetPr>
  <dimension ref="B1:U76"/>
  <sheetViews>
    <sheetView showGridLines="0" zoomScale="70" zoomScaleNormal="70" workbookViewId="0">
      <selection activeCell="B27" sqref="B27:G30"/>
    </sheetView>
  </sheetViews>
  <sheetFormatPr defaultRowHeight="14.4" zeroHeight="1" x14ac:dyDescent="0.3"/>
  <cols>
    <col min="1" max="1" width="1.5546875" style="267" customWidth="1"/>
    <col min="2" max="2" width="77.33203125" style="267" customWidth="1"/>
    <col min="3" max="3" width="19.6640625" style="267" customWidth="1"/>
    <col min="4" max="7" width="19.5546875" style="267" customWidth="1"/>
    <col min="8" max="9" width="3.5546875" style="267" customWidth="1"/>
    <col min="10" max="10" width="9.5546875" style="267" customWidth="1"/>
    <col min="11" max="11" width="41.6640625" style="267" customWidth="1"/>
    <col min="12" max="12" width="24.109375" style="267" customWidth="1"/>
    <col min="13" max="13" width="12.5546875" style="267" customWidth="1"/>
    <col min="14" max="14" width="6.5546875" style="267" customWidth="1"/>
    <col min="15" max="15" width="18.5546875" style="267" customWidth="1"/>
    <col min="16" max="21" width="19.44140625" style="267" customWidth="1"/>
    <col min="22" max="16384" width="8.88671875" style="267"/>
  </cols>
  <sheetData>
    <row r="1" spans="2:21" x14ac:dyDescent="0.3"/>
    <row r="2" spans="2:21" x14ac:dyDescent="0.3"/>
    <row r="3" spans="2:21" x14ac:dyDescent="0.3"/>
    <row r="4" spans="2:21" x14ac:dyDescent="0.3"/>
    <row r="5" spans="2:21" x14ac:dyDescent="0.3"/>
    <row r="6" spans="2:21" ht="24.45" customHeight="1" x14ac:dyDescent="0.3">
      <c r="J6" s="454" t="s">
        <v>722</v>
      </c>
      <c r="K6" s="454"/>
      <c r="L6" s="237" t="s">
        <v>709</v>
      </c>
    </row>
    <row r="7" spans="2:21" x14ac:dyDescent="0.3">
      <c r="B7" s="265" t="s">
        <v>721</v>
      </c>
      <c r="F7" s="455"/>
      <c r="G7" s="456"/>
      <c r="J7" s="454"/>
      <c r="K7" s="454"/>
      <c r="L7" s="238"/>
    </row>
    <row r="8" spans="2:21" ht="14.85" customHeight="1" thickBot="1" x14ac:dyDescent="0.35">
      <c r="F8" s="289"/>
      <c r="G8" s="289"/>
    </row>
    <row r="9" spans="2:21" ht="25.35" customHeight="1" thickBot="1" x14ac:dyDescent="0.35">
      <c r="B9" s="457" t="s">
        <v>677</v>
      </c>
      <c r="C9" s="457"/>
      <c r="D9" s="457"/>
      <c r="E9" s="457"/>
      <c r="F9" s="457"/>
      <c r="G9" s="457"/>
      <c r="J9" s="458" t="s">
        <v>673</v>
      </c>
      <c r="K9" s="459"/>
      <c r="L9" s="459"/>
      <c r="M9" s="460" t="s">
        <v>481</v>
      </c>
      <c r="N9" s="399"/>
      <c r="O9" s="400"/>
      <c r="P9" s="399" t="s">
        <v>482</v>
      </c>
      <c r="Q9" s="400"/>
      <c r="R9" s="399" t="s">
        <v>671</v>
      </c>
      <c r="S9" s="400"/>
      <c r="T9" s="399" t="s">
        <v>672</v>
      </c>
      <c r="U9" s="400"/>
    </row>
    <row r="10" spans="2:21" s="382" customFormat="1" ht="29.85" customHeight="1" thickBot="1" x14ac:dyDescent="0.35">
      <c r="B10" s="461"/>
      <c r="C10" s="461"/>
      <c r="D10" s="462" t="s">
        <v>552</v>
      </c>
      <c r="E10" s="462"/>
      <c r="F10" s="462"/>
      <c r="G10" s="462"/>
      <c r="H10" s="267"/>
      <c r="J10" s="463" t="s">
        <v>610</v>
      </c>
      <c r="K10" s="464"/>
      <c r="L10" s="340" t="s">
        <v>1</v>
      </c>
      <c r="M10" s="338" t="s">
        <v>553</v>
      </c>
      <c r="N10" s="402"/>
      <c r="O10" s="465" t="s">
        <v>554</v>
      </c>
      <c r="P10" s="466" t="s">
        <v>553</v>
      </c>
      <c r="Q10" s="465" t="s">
        <v>554</v>
      </c>
      <c r="R10" s="466" t="s">
        <v>553</v>
      </c>
      <c r="S10" s="465" t="s">
        <v>554</v>
      </c>
      <c r="T10" s="466" t="s">
        <v>553</v>
      </c>
      <c r="U10" s="465" t="s">
        <v>554</v>
      </c>
    </row>
    <row r="11" spans="2:21" s="469" customFormat="1" ht="15" customHeight="1" thickBot="1" x14ac:dyDescent="0.35">
      <c r="B11" s="467"/>
      <c r="C11" s="468" t="s">
        <v>466</v>
      </c>
      <c r="D11" s="468" t="s">
        <v>481</v>
      </c>
      <c r="E11" s="468" t="s">
        <v>482</v>
      </c>
      <c r="F11" s="468" t="s">
        <v>671</v>
      </c>
      <c r="G11" s="468" t="s">
        <v>672</v>
      </c>
      <c r="H11" s="267"/>
      <c r="J11" s="470"/>
      <c r="K11" s="471"/>
      <c r="L11" s="472" t="s">
        <v>555</v>
      </c>
      <c r="M11" s="473" t="s">
        <v>486</v>
      </c>
      <c r="N11" s="474"/>
      <c r="O11" s="475" t="s">
        <v>485</v>
      </c>
      <c r="P11" s="471" t="s">
        <v>486</v>
      </c>
      <c r="Q11" s="475" t="s">
        <v>485</v>
      </c>
      <c r="R11" s="471" t="s">
        <v>486</v>
      </c>
      <c r="S11" s="475" t="s">
        <v>485</v>
      </c>
      <c r="T11" s="471" t="s">
        <v>486</v>
      </c>
      <c r="U11" s="475" t="s">
        <v>485</v>
      </c>
    </row>
    <row r="12" spans="2:21" ht="14.25" customHeight="1" x14ac:dyDescent="0.3">
      <c r="B12" s="476" t="s">
        <v>557</v>
      </c>
      <c r="C12" s="477" t="s">
        <v>507</v>
      </c>
      <c r="D12" s="478" t="str">
        <f>IF($L$72&gt;=25000,IFERROR($M$72*$L$72,""),"N/A")</f>
        <v>N/A</v>
      </c>
      <c r="E12" s="479" t="str">
        <f>IF($L$72&gt;=25000,IFERROR($P$72*$L$72,""), "N/A")</f>
        <v>N/A</v>
      </c>
      <c r="F12" s="479" t="str">
        <f>IF($L$72&gt;=25000,IFERROR($R$72*$L$72,""), "N/A")</f>
        <v>N/A</v>
      </c>
      <c r="G12" s="480" t="str">
        <f>IF($L$72&gt;=25000,IFERROR($T$72*$L$72,""), "N/A")</f>
        <v>N/A</v>
      </c>
      <c r="J12" s="481"/>
      <c r="K12" s="435" t="s">
        <v>611</v>
      </c>
      <c r="L12" s="51"/>
      <c r="M12" s="482">
        <v>7.5799999999999999E-3</v>
      </c>
      <c r="N12" s="483"/>
      <c r="O12" s="367">
        <f>L12*M12</f>
        <v>0</v>
      </c>
      <c r="P12" s="484">
        <v>3.5655280000000001E-3</v>
      </c>
      <c r="Q12" s="367">
        <f>L12*P12</f>
        <v>0</v>
      </c>
      <c r="R12" s="485">
        <v>2.6741460000000001E-3</v>
      </c>
      <c r="S12" s="367">
        <f>L12*R12</f>
        <v>0</v>
      </c>
      <c r="T12" s="485">
        <v>1.7827640000000001E-3</v>
      </c>
      <c r="U12" s="367">
        <f>L12*T12</f>
        <v>0</v>
      </c>
    </row>
    <row r="13" spans="2:21" ht="15" thickBot="1" x14ac:dyDescent="0.35">
      <c r="B13" s="486" t="s">
        <v>556</v>
      </c>
      <c r="C13" s="487" t="s">
        <v>508</v>
      </c>
      <c r="D13" s="488">
        <f>IF(D$16&lt;&gt;"N/A Below 25,000 Sf", 268,0)</f>
        <v>0</v>
      </c>
      <c r="E13" s="488">
        <f>IF(E$16&lt;&gt;"N/A Below 25,000 Sf", 268,0)</f>
        <v>0</v>
      </c>
      <c r="F13" s="488">
        <f>IF(F$16&lt;&gt;"N/A Below 25,000 Sf", 268,0)</f>
        <v>0</v>
      </c>
      <c r="G13" s="489">
        <f>IF(G$16&lt;&gt;"N/A Below 25,000 Sf", 268,0)</f>
        <v>0</v>
      </c>
      <c r="J13" s="481"/>
      <c r="K13" s="435" t="s">
        <v>612</v>
      </c>
      <c r="L13" s="51"/>
      <c r="M13" s="482">
        <v>1.1809999999999999E-2</v>
      </c>
      <c r="N13" s="483"/>
      <c r="O13" s="367">
        <f t="shared" ref="O13:O24" si="0">L13*M13</f>
        <v>0</v>
      </c>
      <c r="P13" s="484">
        <v>8.9806120000000007E-3</v>
      </c>
      <c r="Q13" s="367">
        <f t="shared" ref="Q13:Q24" si="1">L13*P13</f>
        <v>0</v>
      </c>
      <c r="R13" s="485">
        <v>6.7354590000000001E-3</v>
      </c>
      <c r="S13" s="367">
        <f t="shared" ref="S13:S24" si="2">L13*R13</f>
        <v>0</v>
      </c>
      <c r="T13" s="485">
        <v>4.4903060000000003E-3</v>
      </c>
      <c r="U13" s="367">
        <f t="shared" ref="U13:U24" si="3">L13*T13</f>
        <v>0</v>
      </c>
    </row>
    <row r="14" spans="2:21" ht="15" thickBot="1" x14ac:dyDescent="0.35">
      <c r="B14" s="490" t="s">
        <v>685</v>
      </c>
      <c r="C14" s="491"/>
      <c r="D14" s="491"/>
      <c r="E14" s="491"/>
      <c r="F14" s="491"/>
      <c r="G14" s="492"/>
      <c r="J14" s="481"/>
      <c r="K14" s="435" t="s">
        <v>613</v>
      </c>
      <c r="L14" s="51"/>
      <c r="M14" s="493">
        <v>6.7499999999999999E-3</v>
      </c>
      <c r="N14" s="494"/>
      <c r="O14" s="367">
        <f t="shared" si="0"/>
        <v>0</v>
      </c>
      <c r="P14" s="484">
        <v>2.8240969999999998E-3</v>
      </c>
      <c r="Q14" s="367">
        <f t="shared" si="1"/>
        <v>0</v>
      </c>
      <c r="R14" s="485">
        <v>2.1180719999999999E-3</v>
      </c>
      <c r="S14" s="367">
        <f t="shared" si="2"/>
        <v>0</v>
      </c>
      <c r="T14" s="485">
        <v>1.4120479999999999E-3</v>
      </c>
      <c r="U14" s="367">
        <f t="shared" si="3"/>
        <v>0</v>
      </c>
    </row>
    <row r="15" spans="2:21" x14ac:dyDescent="0.3">
      <c r="B15" s="495" t="s">
        <v>559</v>
      </c>
      <c r="C15" s="496" t="s">
        <v>507</v>
      </c>
      <c r="D15" s="497">
        <f>'5 Savings Analysis'!I11</f>
        <v>0</v>
      </c>
      <c r="E15" s="497">
        <f>'5 Savings Analysis'!K11</f>
        <v>0</v>
      </c>
      <c r="F15" s="497">
        <f>'5 Savings Analysis'!M11</f>
        <v>0</v>
      </c>
      <c r="G15" s="498">
        <f>'5 Savings Analysis'!O11</f>
        <v>0</v>
      </c>
      <c r="J15" s="481"/>
      <c r="K15" s="435" t="s">
        <v>614</v>
      </c>
      <c r="L15" s="51"/>
      <c r="M15" s="493">
        <v>9.8700000000000003E-3</v>
      </c>
      <c r="N15" s="494"/>
      <c r="O15" s="367">
        <f t="shared" si="0"/>
        <v>0</v>
      </c>
      <c r="P15" s="484">
        <v>4.0361720000000002E-3</v>
      </c>
      <c r="Q15" s="367">
        <f t="shared" si="1"/>
        <v>0</v>
      </c>
      <c r="R15" s="485">
        <v>3.0271289999999999E-3</v>
      </c>
      <c r="S15" s="367">
        <f t="shared" si="2"/>
        <v>0</v>
      </c>
      <c r="T15" s="485">
        <v>2.0180860000000001E-3</v>
      </c>
      <c r="U15" s="367">
        <f t="shared" si="3"/>
        <v>0</v>
      </c>
    </row>
    <row r="16" spans="2:21" x14ac:dyDescent="0.3">
      <c r="B16" s="499" t="s">
        <v>558</v>
      </c>
      <c r="C16" s="477" t="s">
        <v>508</v>
      </c>
      <c r="D16" s="500" t="str">
        <f>IF($L$72&gt;=25000,IFERROR(D15/$L$72,""),"N/A Below 25,000 Sf")</f>
        <v>N/A Below 25,000 Sf</v>
      </c>
      <c r="E16" s="500" t="str">
        <f>IF($L$72&gt;=25000,IFERROR(E15/$L$72,""), "N/A Below 25,000 Sf")</f>
        <v>N/A Below 25,000 Sf</v>
      </c>
      <c r="F16" s="500" t="str">
        <f>IF($L$72&gt;=25000,IFERROR(F15/$L$72,""), "N/A Below 25,000 Sf")</f>
        <v>N/A Below 25,000 Sf</v>
      </c>
      <c r="G16" s="501" t="str">
        <f>IF($L$72&gt;=25000,IFERROR(G15/$L$72,""), "N/A Below 25,000 Sf")</f>
        <v>N/A Below 25,000 Sf</v>
      </c>
      <c r="J16" s="481"/>
      <c r="K16" s="435" t="s">
        <v>615</v>
      </c>
      <c r="L16" s="51"/>
      <c r="M16" s="482">
        <v>5.7400000000000003E-3</v>
      </c>
      <c r="N16" s="483"/>
      <c r="O16" s="367">
        <f t="shared" si="0"/>
        <v>0</v>
      </c>
      <c r="P16" s="484">
        <v>3.1038149999999998E-3</v>
      </c>
      <c r="Q16" s="367">
        <f t="shared" si="1"/>
        <v>0</v>
      </c>
      <c r="R16" s="485">
        <v>2.3278610000000001E-3</v>
      </c>
      <c r="S16" s="367">
        <f t="shared" si="2"/>
        <v>0</v>
      </c>
      <c r="T16" s="485">
        <v>1.5519069999999999E-3</v>
      </c>
      <c r="U16" s="367">
        <f t="shared" si="3"/>
        <v>0</v>
      </c>
    </row>
    <row r="17" spans="2:21" x14ac:dyDescent="0.3">
      <c r="B17" s="486" t="s">
        <v>674</v>
      </c>
      <c r="C17" s="487" t="s">
        <v>507</v>
      </c>
      <c r="D17" s="478" t="str">
        <f>IFERROR(MAX(0,D$15-D$12),"")</f>
        <v/>
      </c>
      <c r="E17" s="478" t="str">
        <f>IFERROR(MAX(0,E$15-E$12),"")</f>
        <v/>
      </c>
      <c r="F17" s="478" t="str">
        <f>IFERROR(MAX(0,F$15-F$12),"")</f>
        <v/>
      </c>
      <c r="G17" s="502" t="str">
        <f>IFERROR(MAX(0,G$15-G$12),"")</f>
        <v/>
      </c>
      <c r="J17" s="481"/>
      <c r="K17" s="435" t="s">
        <v>616</v>
      </c>
      <c r="L17" s="51"/>
      <c r="M17" s="493">
        <v>9.8700000000000003E-3</v>
      </c>
      <c r="N17" s="494"/>
      <c r="O17" s="367">
        <f t="shared" si="0"/>
        <v>0</v>
      </c>
      <c r="P17" s="484">
        <v>2.0997479999999998E-3</v>
      </c>
      <c r="Q17" s="367">
        <f t="shared" si="1"/>
        <v>0</v>
      </c>
      <c r="R17" s="485">
        <v>1.236322E-3</v>
      </c>
      <c r="S17" s="367">
        <f t="shared" si="2"/>
        <v>0</v>
      </c>
      <c r="T17" s="485">
        <v>1.8081799999999999E-4</v>
      </c>
      <c r="U17" s="367">
        <f t="shared" si="3"/>
        <v>0</v>
      </c>
    </row>
    <row r="18" spans="2:21" ht="15" thickBot="1" x14ac:dyDescent="0.35">
      <c r="B18" s="499" t="s">
        <v>675</v>
      </c>
      <c r="C18" s="503" t="s">
        <v>483</v>
      </c>
      <c r="D18" s="504" t="str">
        <f>IFERROR(D17*D13,"")</f>
        <v/>
      </c>
      <c r="E18" s="504" t="str">
        <f>IFERROR(E17*E13,"")</f>
        <v/>
      </c>
      <c r="F18" s="504" t="str">
        <f>IFERROR(F17*F13,"")</f>
        <v/>
      </c>
      <c r="G18" s="505" t="str">
        <f t="shared" ref="G18" si="4">IFERROR(G17*G13,"")</f>
        <v/>
      </c>
      <c r="J18" s="481"/>
      <c r="K18" s="435" t="s">
        <v>617</v>
      </c>
      <c r="L18" s="51"/>
      <c r="M18" s="482">
        <v>6.7499999999999999E-3</v>
      </c>
      <c r="N18" s="483"/>
      <c r="O18" s="367">
        <f t="shared" si="0"/>
        <v>0</v>
      </c>
      <c r="P18" s="484">
        <v>3.5400319999999998E-3</v>
      </c>
      <c r="Q18" s="367">
        <f t="shared" si="1"/>
        <v>0</v>
      </c>
      <c r="R18" s="485">
        <v>2.6550240000000002E-3</v>
      </c>
      <c r="S18" s="367">
        <f t="shared" si="2"/>
        <v>0</v>
      </c>
      <c r="T18" s="485">
        <v>1.7700159999999999E-3</v>
      </c>
      <c r="U18" s="367">
        <f t="shared" si="3"/>
        <v>0</v>
      </c>
    </row>
    <row r="19" spans="2:21" ht="15" thickBot="1" x14ac:dyDescent="0.35">
      <c r="B19" s="490" t="s">
        <v>687</v>
      </c>
      <c r="C19" s="491"/>
      <c r="D19" s="491"/>
      <c r="E19" s="491"/>
      <c r="F19" s="491"/>
      <c r="G19" s="492"/>
      <c r="J19" s="481"/>
      <c r="K19" s="435" t="s">
        <v>618</v>
      </c>
      <c r="L19" s="51"/>
      <c r="M19" s="493">
        <v>4.2599999999999999E-3</v>
      </c>
      <c r="N19" s="494"/>
      <c r="O19" s="367">
        <f t="shared" si="0"/>
        <v>0</v>
      </c>
      <c r="P19" s="484">
        <v>1.480533E-3</v>
      </c>
      <c r="Q19" s="367">
        <f t="shared" si="1"/>
        <v>0</v>
      </c>
      <c r="R19" s="485">
        <v>1.1104000000000001E-3</v>
      </c>
      <c r="S19" s="367">
        <f t="shared" si="2"/>
        <v>0</v>
      </c>
      <c r="T19" s="485">
        <v>7.4026599999999995E-4</v>
      </c>
      <c r="U19" s="367">
        <f t="shared" si="3"/>
        <v>0</v>
      </c>
    </row>
    <row r="20" spans="2:21" x14ac:dyDescent="0.3">
      <c r="B20" s="495" t="s">
        <v>686</v>
      </c>
      <c r="C20" s="496" t="s">
        <v>507</v>
      </c>
      <c r="D20" s="497">
        <f>'5 Savings Analysis'!I12</f>
        <v>0</v>
      </c>
      <c r="E20" s="497">
        <f>'5 Savings Analysis'!K12</f>
        <v>0</v>
      </c>
      <c r="F20" s="497">
        <f>'5 Savings Analysis'!M12</f>
        <v>0</v>
      </c>
      <c r="G20" s="506">
        <f>'5 Savings Analysis'!O12</f>
        <v>0</v>
      </c>
      <c r="J20" s="481"/>
      <c r="K20" s="435" t="s">
        <v>619</v>
      </c>
      <c r="L20" s="51"/>
      <c r="M20" s="493">
        <v>2.3810000000000001E-2</v>
      </c>
      <c r="N20" s="494"/>
      <c r="O20" s="367">
        <f t="shared" si="0"/>
        <v>0</v>
      </c>
      <c r="P20" s="484">
        <v>1.4791131000000001E-2</v>
      </c>
      <c r="Q20" s="367">
        <f t="shared" si="1"/>
        <v>0</v>
      </c>
      <c r="R20" s="485">
        <v>1.1093347999999999E-2</v>
      </c>
      <c r="S20" s="367">
        <f t="shared" si="2"/>
        <v>0</v>
      </c>
      <c r="T20" s="485">
        <v>7.3955649999999998E-3</v>
      </c>
      <c r="U20" s="367">
        <f t="shared" si="3"/>
        <v>0</v>
      </c>
    </row>
    <row r="21" spans="2:21" ht="15" customHeight="1" x14ac:dyDescent="0.3">
      <c r="B21" s="507" t="s">
        <v>684</v>
      </c>
      <c r="C21" s="487" t="s">
        <v>507</v>
      </c>
      <c r="D21" s="478" t="str">
        <f>IFERROR(MAX(0,D$20-D$12),"")</f>
        <v/>
      </c>
      <c r="E21" s="478" t="str">
        <f>IFERROR(MAX(0,E$20-E$12),"")</f>
        <v/>
      </c>
      <c r="F21" s="478" t="str">
        <f>IFERROR(MAX(0,F$20-F$12),"")</f>
        <v/>
      </c>
      <c r="G21" s="502" t="str">
        <f t="shared" ref="G21" si="5">IFERROR(MAX(0,G$20-G$12),"")</f>
        <v/>
      </c>
      <c r="J21" s="481"/>
      <c r="K21" s="435" t="s">
        <v>620</v>
      </c>
      <c r="L21" s="51"/>
      <c r="M21" s="493">
        <v>5.7400000000000003E-3</v>
      </c>
      <c r="N21" s="494"/>
      <c r="O21" s="367">
        <f t="shared" si="0"/>
        <v>0</v>
      </c>
      <c r="P21" s="484">
        <v>9.9160000000000003E-4</v>
      </c>
      <c r="Q21" s="367">
        <f t="shared" si="1"/>
        <v>0</v>
      </c>
      <c r="R21" s="485">
        <v>5.4963699999999996E-4</v>
      </c>
      <c r="S21" s="367">
        <f t="shared" si="2"/>
        <v>0</v>
      </c>
      <c r="T21" s="485">
        <v>1.2356800000000001E-4</v>
      </c>
      <c r="U21" s="367">
        <f t="shared" si="3"/>
        <v>0</v>
      </c>
    </row>
    <row r="22" spans="2:21" ht="15" customHeight="1" thickBot="1" x14ac:dyDescent="0.35">
      <c r="B22" s="508" t="s">
        <v>710</v>
      </c>
      <c r="C22" s="509" t="s">
        <v>483</v>
      </c>
      <c r="D22" s="488" t="e">
        <f>IFERROR(MAX(0,'5 Savings Analysis'!I12-D$12),"")*D13</f>
        <v>#VALUE!</v>
      </c>
      <c r="E22" s="488" t="e">
        <f>IFERROR(MAX(0,'5 Savings Analysis'!K12-E$12),"")*E13</f>
        <v>#VALUE!</v>
      </c>
      <c r="F22" s="488" t="e">
        <f>IFERROR(MAX(0,'5 Savings Analysis'!M12-F$12),"")*F13</f>
        <v>#VALUE!</v>
      </c>
      <c r="G22" s="489" t="e">
        <f>IFERROR(MAX(0,'5 Savings Analysis'!O12-G$12),"")*G13</f>
        <v>#VALUE!</v>
      </c>
      <c r="J22" s="481"/>
      <c r="K22" s="435" t="s">
        <v>621</v>
      </c>
      <c r="L22" s="51"/>
      <c r="M22" s="482">
        <v>1.074E-2</v>
      </c>
      <c r="N22" s="483"/>
      <c r="O22" s="367">
        <f t="shared" si="0"/>
        <v>0</v>
      </c>
      <c r="P22" s="484">
        <v>3.9838030000000002E-3</v>
      </c>
      <c r="Q22" s="367">
        <f t="shared" si="1"/>
        <v>0</v>
      </c>
      <c r="R22" s="485">
        <v>2.987852E-3</v>
      </c>
      <c r="S22" s="367">
        <f t="shared" si="2"/>
        <v>0</v>
      </c>
      <c r="T22" s="485">
        <v>1.9919009999999999E-3</v>
      </c>
      <c r="U22" s="367">
        <f t="shared" si="3"/>
        <v>0</v>
      </c>
    </row>
    <row r="23" spans="2:21" ht="15" customHeight="1" thickBot="1" x14ac:dyDescent="0.35">
      <c r="B23" s="510" t="s">
        <v>778</v>
      </c>
      <c r="C23" s="511" t="s">
        <v>483</v>
      </c>
      <c r="D23" s="512" t="str">
        <f>IFERROR(IF($L$6="Yes",0,IF((D18-D22)&gt;0,D18-D22,0)),"")</f>
        <v/>
      </c>
      <c r="E23" s="512" t="str">
        <f>IFERROR(IF($L$6="Yes",0,IF((E18-E22)&gt;0,E18-E22,0)),"")</f>
        <v/>
      </c>
      <c r="F23" s="512" t="str">
        <f>IFERROR(IF($L$6="Yes",0,IF((F18-F22)&gt;0,F18-F22,0)),"")</f>
        <v/>
      </c>
      <c r="G23" s="512" t="str">
        <f>IFERROR(IF($L$6="Yes",0,IF((G18-G22)&gt;0,G18-G22,0)),"")</f>
        <v/>
      </c>
      <c r="J23" s="481"/>
      <c r="K23" s="435" t="s">
        <v>622</v>
      </c>
      <c r="L23" s="51"/>
      <c r="M23" s="482">
        <v>8.4600000000000005E-3</v>
      </c>
      <c r="N23" s="483"/>
      <c r="O23" s="367">
        <f t="shared" si="0"/>
        <v>0</v>
      </c>
      <c r="P23" s="484">
        <v>3.6970039999999998E-3</v>
      </c>
      <c r="Q23" s="367">
        <f t="shared" si="1"/>
        <v>0</v>
      </c>
      <c r="R23" s="485">
        <v>2.7727530000000002E-3</v>
      </c>
      <c r="S23" s="367">
        <f t="shared" si="2"/>
        <v>0</v>
      </c>
      <c r="T23" s="485">
        <v>1.8485019999999999E-3</v>
      </c>
      <c r="U23" s="367">
        <f t="shared" si="3"/>
        <v>0</v>
      </c>
    </row>
    <row r="24" spans="2:21" ht="15" customHeight="1" x14ac:dyDescent="0.3">
      <c r="B24" s="513" t="s">
        <v>725</v>
      </c>
      <c r="C24" s="513"/>
      <c r="D24" s="513"/>
      <c r="E24" s="513"/>
      <c r="F24" s="513"/>
      <c r="G24" s="513"/>
      <c r="J24" s="481"/>
      <c r="K24" s="435" t="s">
        <v>623</v>
      </c>
      <c r="L24" s="51"/>
      <c r="M24" s="482">
        <v>9.8700000000000003E-3</v>
      </c>
      <c r="N24" s="483"/>
      <c r="O24" s="367">
        <f t="shared" si="0"/>
        <v>0</v>
      </c>
      <c r="P24" s="484">
        <v>3.946728E-3</v>
      </c>
      <c r="Q24" s="367">
        <f t="shared" si="1"/>
        <v>0</v>
      </c>
      <c r="R24" s="485">
        <v>2.960046E-3</v>
      </c>
      <c r="S24" s="367">
        <f t="shared" si="2"/>
        <v>0</v>
      </c>
      <c r="T24" s="485">
        <v>1.973364E-3</v>
      </c>
      <c r="U24" s="367">
        <f t="shared" si="3"/>
        <v>0</v>
      </c>
    </row>
    <row r="25" spans="2:21" ht="15" customHeight="1" x14ac:dyDescent="0.3">
      <c r="B25" s="513"/>
      <c r="C25" s="513"/>
      <c r="D25" s="513"/>
      <c r="E25" s="513"/>
      <c r="F25" s="513"/>
      <c r="G25" s="513"/>
      <c r="J25" s="481"/>
      <c r="K25" s="435" t="s">
        <v>624</v>
      </c>
      <c r="L25" s="51"/>
      <c r="M25" s="482">
        <v>1.1809999999999999E-2</v>
      </c>
      <c r="N25" s="494"/>
      <c r="O25" s="367">
        <f t="shared" ref="O25:O71" si="6">L25*M25</f>
        <v>0</v>
      </c>
      <c r="P25" s="484">
        <v>5.2088799999999999E-3</v>
      </c>
      <c r="Q25" s="367">
        <f t="shared" ref="Q25:Q71" si="7">L25*P25</f>
        <v>0</v>
      </c>
      <c r="R25" s="485">
        <v>3.9066600000000002E-3</v>
      </c>
      <c r="S25" s="367">
        <f t="shared" ref="S25:S71" si="8">L25*R25</f>
        <v>0</v>
      </c>
      <c r="T25" s="485">
        <v>2.60444E-3</v>
      </c>
      <c r="U25" s="367">
        <f t="shared" ref="U25:U71" si="9">L25*T25</f>
        <v>0</v>
      </c>
    </row>
    <row r="26" spans="2:21" ht="15" customHeight="1" x14ac:dyDescent="0.3">
      <c r="B26" s="513"/>
      <c r="C26" s="513"/>
      <c r="D26" s="513"/>
      <c r="E26" s="513"/>
      <c r="F26" s="513"/>
      <c r="G26" s="513"/>
      <c r="J26" s="481"/>
      <c r="K26" s="435" t="s">
        <v>625</v>
      </c>
      <c r="L26" s="51"/>
      <c r="M26" s="482">
        <v>1.1809999999999999E-2</v>
      </c>
      <c r="N26" s="494"/>
      <c r="O26" s="367">
        <f t="shared" si="6"/>
        <v>0</v>
      </c>
      <c r="P26" s="484">
        <v>7.7494139999999996E-3</v>
      </c>
      <c r="Q26" s="367">
        <f t="shared" si="7"/>
        <v>0</v>
      </c>
      <c r="R26" s="485">
        <v>5.81206E-3</v>
      </c>
      <c r="S26" s="367">
        <f t="shared" si="8"/>
        <v>0</v>
      </c>
      <c r="T26" s="485">
        <v>3.8747069999999998E-3</v>
      </c>
      <c r="U26" s="367">
        <f t="shared" si="9"/>
        <v>0</v>
      </c>
    </row>
    <row r="27" spans="2:21" ht="15" customHeight="1" x14ac:dyDescent="0.3">
      <c r="B27" s="514" t="s">
        <v>689</v>
      </c>
      <c r="C27" s="514"/>
      <c r="D27" s="514"/>
      <c r="E27" s="514"/>
      <c r="F27" s="514"/>
      <c r="G27" s="514"/>
      <c r="J27" s="481"/>
      <c r="K27" s="435" t="s">
        <v>626</v>
      </c>
      <c r="L27" s="51"/>
      <c r="M27" s="482">
        <v>2.3810000000000001E-2</v>
      </c>
      <c r="N27" s="494"/>
      <c r="O27" s="367">
        <f t="shared" si="6"/>
        <v>0</v>
      </c>
      <c r="P27" s="484">
        <v>7.3352039999999997E-3</v>
      </c>
      <c r="Q27" s="367">
        <f t="shared" si="7"/>
        <v>0</v>
      </c>
      <c r="R27" s="485">
        <v>4.6540440000000004E-3</v>
      </c>
      <c r="S27" s="367">
        <f t="shared" si="8"/>
        <v>0</v>
      </c>
      <c r="T27" s="485">
        <v>2.9978510000000002E-3</v>
      </c>
      <c r="U27" s="367">
        <f t="shared" si="9"/>
        <v>0</v>
      </c>
    </row>
    <row r="28" spans="2:21" ht="15" customHeight="1" x14ac:dyDescent="0.3">
      <c r="B28" s="514"/>
      <c r="C28" s="514"/>
      <c r="D28" s="514"/>
      <c r="E28" s="514"/>
      <c r="F28" s="514"/>
      <c r="G28" s="514"/>
      <c r="J28" s="481"/>
      <c r="K28" s="435" t="s">
        <v>627</v>
      </c>
      <c r="L28" s="51"/>
      <c r="M28" s="482">
        <v>9.8700000000000003E-3</v>
      </c>
      <c r="N28" s="494"/>
      <c r="O28" s="367">
        <f t="shared" si="6"/>
        <v>0</v>
      </c>
      <c r="P28" s="484">
        <v>3.8506679999999998E-3</v>
      </c>
      <c r="Q28" s="367">
        <f t="shared" si="7"/>
        <v>0</v>
      </c>
      <c r="R28" s="485">
        <v>2.6400170000000001E-3</v>
      </c>
      <c r="S28" s="367">
        <f t="shared" si="8"/>
        <v>0</v>
      </c>
      <c r="T28" s="485">
        <v>1.465772E-3</v>
      </c>
      <c r="U28" s="367">
        <f t="shared" si="9"/>
        <v>0</v>
      </c>
    </row>
    <row r="29" spans="2:21" ht="15" customHeight="1" x14ac:dyDescent="0.3">
      <c r="B29" s="514"/>
      <c r="C29" s="514"/>
      <c r="D29" s="514"/>
      <c r="E29" s="514"/>
      <c r="F29" s="514"/>
      <c r="G29" s="514"/>
      <c r="J29" s="481"/>
      <c r="K29" s="435" t="s">
        <v>628</v>
      </c>
      <c r="L29" s="51"/>
      <c r="M29" s="482">
        <v>6.7499999999999999E-3</v>
      </c>
      <c r="N29" s="494"/>
      <c r="O29" s="367">
        <f t="shared" si="6"/>
        <v>0</v>
      </c>
      <c r="P29" s="484">
        <v>2.2305879999999999E-3</v>
      </c>
      <c r="Q29" s="367">
        <f t="shared" si="7"/>
        <v>0</v>
      </c>
      <c r="R29" s="485">
        <v>1.488109E-3</v>
      </c>
      <c r="S29" s="367">
        <f t="shared" si="8"/>
        <v>0</v>
      </c>
      <c r="T29" s="485">
        <v>8.0960699999999995E-4</v>
      </c>
      <c r="U29" s="367">
        <f t="shared" si="9"/>
        <v>0</v>
      </c>
    </row>
    <row r="30" spans="2:21" ht="15" customHeight="1" x14ac:dyDescent="0.3">
      <c r="B30" s="514"/>
      <c r="C30" s="514"/>
      <c r="D30" s="514"/>
      <c r="E30" s="514"/>
      <c r="F30" s="514"/>
      <c r="G30" s="514"/>
      <c r="J30" s="481"/>
      <c r="K30" s="435" t="s">
        <v>629</v>
      </c>
      <c r="L30" s="51"/>
      <c r="M30" s="482">
        <v>2.3810000000000001E-2</v>
      </c>
      <c r="N30" s="494"/>
      <c r="O30" s="367">
        <f t="shared" si="6"/>
        <v>0</v>
      </c>
      <c r="P30" s="484">
        <v>2.6029868000000001E-2</v>
      </c>
      <c r="Q30" s="367">
        <f t="shared" si="7"/>
        <v>0</v>
      </c>
      <c r="R30" s="485">
        <v>1.9522401000000002E-2</v>
      </c>
      <c r="S30" s="367">
        <f t="shared" si="8"/>
        <v>0</v>
      </c>
      <c r="T30" s="485">
        <v>1.3014934000000001E-2</v>
      </c>
      <c r="U30" s="367">
        <f t="shared" si="9"/>
        <v>0</v>
      </c>
    </row>
    <row r="31" spans="2:21" ht="15" customHeight="1" x14ac:dyDescent="0.3">
      <c r="B31" s="453" t="s">
        <v>583</v>
      </c>
      <c r="C31" s="333"/>
      <c r="D31" s="333"/>
      <c r="E31" s="333"/>
      <c r="F31" s="333"/>
      <c r="G31" s="333"/>
      <c r="J31" s="481"/>
      <c r="K31" s="435" t="s">
        <v>630</v>
      </c>
      <c r="L31" s="51"/>
      <c r="M31" s="482">
        <v>6.7499999999999999E-3</v>
      </c>
      <c r="N31" s="494"/>
      <c r="O31" s="367">
        <f t="shared" si="6"/>
        <v>0</v>
      </c>
      <c r="P31" s="484">
        <v>2.2184119999999999E-3</v>
      </c>
      <c r="Q31" s="367">
        <f t="shared" si="7"/>
        <v>0</v>
      </c>
      <c r="R31" s="485">
        <v>1.663809E-3</v>
      </c>
      <c r="S31" s="367">
        <f t="shared" si="8"/>
        <v>0</v>
      </c>
      <c r="T31" s="485">
        <v>1.109206E-3</v>
      </c>
      <c r="U31" s="367">
        <f t="shared" si="9"/>
        <v>0</v>
      </c>
    </row>
    <row r="32" spans="2:21" ht="15" customHeight="1" x14ac:dyDescent="0.3">
      <c r="B32" s="515" t="s">
        <v>688</v>
      </c>
      <c r="C32" s="333"/>
      <c r="D32" s="333"/>
      <c r="E32" s="333"/>
      <c r="F32" s="333"/>
      <c r="G32" s="333"/>
      <c r="J32" s="481"/>
      <c r="K32" s="435" t="s">
        <v>631</v>
      </c>
      <c r="L32" s="51"/>
      <c r="M32" s="482">
        <v>8.4600000000000005E-3</v>
      </c>
      <c r="N32" s="494"/>
      <c r="O32" s="367">
        <f t="shared" si="6"/>
        <v>0</v>
      </c>
      <c r="P32" s="484">
        <v>4.7058500000000001E-3</v>
      </c>
      <c r="Q32" s="367">
        <f t="shared" si="7"/>
        <v>0</v>
      </c>
      <c r="R32" s="485">
        <v>3.5293870000000001E-3</v>
      </c>
      <c r="S32" s="367">
        <f t="shared" si="8"/>
        <v>0</v>
      </c>
      <c r="T32" s="485">
        <v>2.3529250000000001E-3</v>
      </c>
      <c r="U32" s="367">
        <f t="shared" si="9"/>
        <v>0</v>
      </c>
    </row>
    <row r="33" spans="2:21" ht="15" customHeight="1" x14ac:dyDescent="0.3">
      <c r="B33" s="516" t="s">
        <v>683</v>
      </c>
      <c r="C33" s="333"/>
      <c r="D33" s="333"/>
      <c r="E33" s="333"/>
      <c r="F33" s="333"/>
      <c r="G33" s="333"/>
      <c r="J33" s="481"/>
      <c r="K33" s="435" t="s">
        <v>632</v>
      </c>
      <c r="L33" s="51"/>
      <c r="M33" s="482">
        <v>4.2599999999999999E-3</v>
      </c>
      <c r="N33" s="494"/>
      <c r="O33" s="367">
        <f t="shared" si="6"/>
        <v>0</v>
      </c>
      <c r="P33" s="484">
        <v>1.98044E-3</v>
      </c>
      <c r="Q33" s="367">
        <f t="shared" si="7"/>
        <v>0</v>
      </c>
      <c r="R33" s="485">
        <v>1.48533E-3</v>
      </c>
      <c r="S33" s="367">
        <f t="shared" si="8"/>
        <v>0</v>
      </c>
      <c r="T33" s="485">
        <v>9.9021999999999999E-4</v>
      </c>
      <c r="U33" s="367">
        <f t="shared" si="9"/>
        <v>0</v>
      </c>
    </row>
    <row r="34" spans="2:21" ht="15" customHeight="1" x14ac:dyDescent="0.3">
      <c r="J34" s="481"/>
      <c r="K34" s="435" t="s">
        <v>633</v>
      </c>
      <c r="L34" s="51"/>
      <c r="M34" s="482">
        <v>7.5799999999999999E-3</v>
      </c>
      <c r="N34" s="494"/>
      <c r="O34" s="367">
        <f t="shared" si="6"/>
        <v>0</v>
      </c>
      <c r="P34" s="484">
        <v>1.4170299999999999E-3</v>
      </c>
      <c r="Q34" s="367">
        <f t="shared" si="7"/>
        <v>0</v>
      </c>
      <c r="R34" s="485">
        <v>9.7599299999999998E-4</v>
      </c>
      <c r="S34" s="367">
        <f t="shared" si="8"/>
        <v>0</v>
      </c>
      <c r="T34" s="485">
        <v>5.0834600000000001E-4</v>
      </c>
      <c r="U34" s="367">
        <f t="shared" si="9"/>
        <v>0</v>
      </c>
    </row>
    <row r="35" spans="2:21" ht="15" customHeight="1" x14ac:dyDescent="0.3">
      <c r="J35" s="481"/>
      <c r="K35" s="435" t="s">
        <v>634</v>
      </c>
      <c r="L35" s="51"/>
      <c r="M35" s="482">
        <v>1.074E-2</v>
      </c>
      <c r="N35" s="494"/>
      <c r="O35" s="367">
        <f t="shared" si="6"/>
        <v>0</v>
      </c>
      <c r="P35" s="484">
        <v>2.912778E-3</v>
      </c>
      <c r="Q35" s="367">
        <f t="shared" si="7"/>
        <v>0</v>
      </c>
      <c r="R35" s="485">
        <v>1.6835649999999999E-3</v>
      </c>
      <c r="S35" s="367">
        <f t="shared" si="8"/>
        <v>0</v>
      </c>
      <c r="T35" s="485">
        <v>4.0785099999999998E-4</v>
      </c>
      <c r="U35" s="367">
        <f t="shared" si="9"/>
        <v>0</v>
      </c>
    </row>
    <row r="36" spans="2:21" x14ac:dyDescent="0.3">
      <c r="J36" s="481"/>
      <c r="K36" s="435" t="s">
        <v>635</v>
      </c>
      <c r="L36" s="51"/>
      <c r="M36" s="482">
        <v>1.1809999999999999E-2</v>
      </c>
      <c r="N36" s="494"/>
      <c r="O36" s="367">
        <f t="shared" si="6"/>
        <v>0</v>
      </c>
      <c r="P36" s="484">
        <v>5.3952679999999999E-3</v>
      </c>
      <c r="Q36" s="367">
        <f t="shared" si="7"/>
        <v>0</v>
      </c>
      <c r="R36" s="485">
        <v>4.0464510000000004E-3</v>
      </c>
      <c r="S36" s="367">
        <f t="shared" si="8"/>
        <v>0</v>
      </c>
      <c r="T36" s="485">
        <v>2.697634E-3</v>
      </c>
      <c r="U36" s="367">
        <f t="shared" si="9"/>
        <v>0</v>
      </c>
    </row>
    <row r="37" spans="2:21" x14ac:dyDescent="0.3">
      <c r="J37" s="481"/>
      <c r="K37" s="435" t="s">
        <v>636</v>
      </c>
      <c r="L37" s="51"/>
      <c r="M37" s="482">
        <v>6.7499999999999999E-3</v>
      </c>
      <c r="N37" s="494"/>
      <c r="O37" s="367">
        <f t="shared" si="6"/>
        <v>0</v>
      </c>
      <c r="P37" s="484">
        <v>3.3466400000000001E-3</v>
      </c>
      <c r="Q37" s="367">
        <f t="shared" si="7"/>
        <v>0</v>
      </c>
      <c r="R37" s="485">
        <v>2.6921829999999999E-3</v>
      </c>
      <c r="S37" s="367">
        <f t="shared" si="8"/>
        <v>0</v>
      </c>
      <c r="T37" s="485">
        <v>2.0527309999999999E-3</v>
      </c>
      <c r="U37" s="367">
        <f t="shared" si="9"/>
        <v>0</v>
      </c>
    </row>
    <row r="38" spans="2:21" x14ac:dyDescent="0.3">
      <c r="J38" s="481"/>
      <c r="K38" s="435" t="s">
        <v>637</v>
      </c>
      <c r="L38" s="51"/>
      <c r="M38" s="482">
        <v>1.1809999999999999E-2</v>
      </c>
      <c r="N38" s="494"/>
      <c r="O38" s="367">
        <f t="shared" si="6"/>
        <v>0</v>
      </c>
      <c r="P38" s="484">
        <v>5.3958000000000001E-3</v>
      </c>
      <c r="Q38" s="367">
        <f t="shared" si="7"/>
        <v>0</v>
      </c>
      <c r="R38" s="485">
        <v>4.0468500000000003E-3</v>
      </c>
      <c r="S38" s="367">
        <f t="shared" si="8"/>
        <v>0</v>
      </c>
      <c r="T38" s="485">
        <v>2.6979E-3</v>
      </c>
      <c r="U38" s="367">
        <f t="shared" si="9"/>
        <v>0</v>
      </c>
    </row>
    <row r="39" spans="2:21" x14ac:dyDescent="0.3">
      <c r="J39" s="481"/>
      <c r="K39" s="435" t="s">
        <v>638</v>
      </c>
      <c r="L39" s="51"/>
      <c r="M39" s="482">
        <v>4.2599999999999999E-3</v>
      </c>
      <c r="N39" s="494"/>
      <c r="O39" s="367">
        <f t="shared" si="6"/>
        <v>0</v>
      </c>
      <c r="P39" s="484">
        <v>8.8318700000000001E-4</v>
      </c>
      <c r="Q39" s="367">
        <f t="shared" si="7"/>
        <v>0</v>
      </c>
      <c r="R39" s="485">
        <v>5.6805099999999997E-4</v>
      </c>
      <c r="S39" s="367">
        <f t="shared" si="8"/>
        <v>0</v>
      </c>
      <c r="T39" s="485">
        <v>1.6315200000000001E-4</v>
      </c>
      <c r="U39" s="367">
        <f t="shared" si="9"/>
        <v>0</v>
      </c>
    </row>
    <row r="40" spans="2:21" x14ac:dyDescent="0.3">
      <c r="J40" s="481"/>
      <c r="K40" s="435" t="s">
        <v>639</v>
      </c>
      <c r="L40" s="51"/>
      <c r="M40" s="482">
        <v>7.5799999999999999E-3</v>
      </c>
      <c r="N40" s="494"/>
      <c r="O40" s="367">
        <f t="shared" si="6"/>
        <v>0</v>
      </c>
      <c r="P40" s="484">
        <v>2.6908520000000001E-3</v>
      </c>
      <c r="Q40" s="367">
        <f t="shared" si="7"/>
        <v>0</v>
      </c>
      <c r="R40" s="485">
        <v>1.65234E-3</v>
      </c>
      <c r="S40" s="367">
        <f t="shared" si="8"/>
        <v>0</v>
      </c>
      <c r="T40" s="485">
        <v>5.8189299999999999E-4</v>
      </c>
      <c r="U40" s="367">
        <f t="shared" si="9"/>
        <v>0</v>
      </c>
    </row>
    <row r="41" spans="2:21" x14ac:dyDescent="0.3">
      <c r="J41" s="481"/>
      <c r="K41" s="435" t="s">
        <v>640</v>
      </c>
      <c r="L41" s="51"/>
      <c r="M41" s="482">
        <v>8.4600000000000005E-3</v>
      </c>
      <c r="N41" s="494"/>
      <c r="O41" s="367">
        <f t="shared" si="6"/>
        <v>0</v>
      </c>
      <c r="P41" s="484">
        <v>2.9340059999999999E-3</v>
      </c>
      <c r="Q41" s="367">
        <f t="shared" si="7"/>
        <v>0</v>
      </c>
      <c r="R41" s="485">
        <v>1.867699E-3</v>
      </c>
      <c r="S41" s="367">
        <f t="shared" si="8"/>
        <v>0</v>
      </c>
      <c r="T41" s="485">
        <v>8.39571E-4</v>
      </c>
      <c r="U41" s="367">
        <f t="shared" si="9"/>
        <v>0</v>
      </c>
    </row>
    <row r="42" spans="2:21" x14ac:dyDescent="0.3">
      <c r="J42" s="481"/>
      <c r="K42" s="435" t="s">
        <v>641</v>
      </c>
      <c r="L42" s="51"/>
      <c r="M42" s="482">
        <v>9.8700000000000003E-3</v>
      </c>
      <c r="N42" s="494"/>
      <c r="O42" s="367">
        <f t="shared" si="6"/>
        <v>0</v>
      </c>
      <c r="P42" s="484">
        <v>2.956738E-3</v>
      </c>
      <c r="Q42" s="367">
        <f t="shared" si="7"/>
        <v>0</v>
      </c>
      <c r="R42" s="485">
        <v>2.2501219999999998E-3</v>
      </c>
      <c r="S42" s="367">
        <f t="shared" si="8"/>
        <v>0</v>
      </c>
      <c r="T42" s="485">
        <v>1.3556099999999999E-3</v>
      </c>
      <c r="U42" s="367">
        <f t="shared" si="9"/>
        <v>0</v>
      </c>
    </row>
    <row r="43" spans="2:21" x14ac:dyDescent="0.3">
      <c r="J43" s="481"/>
      <c r="K43" s="435" t="s">
        <v>642</v>
      </c>
      <c r="L43" s="51"/>
      <c r="M43" s="482">
        <v>7.5799999999999999E-3</v>
      </c>
      <c r="N43" s="494"/>
      <c r="O43" s="367">
        <f t="shared" si="6"/>
        <v>0</v>
      </c>
      <c r="P43" s="484">
        <v>1.901982E-3</v>
      </c>
      <c r="Q43" s="367">
        <f t="shared" si="7"/>
        <v>0</v>
      </c>
      <c r="R43" s="485">
        <v>1.3290890000000001E-3</v>
      </c>
      <c r="S43" s="367">
        <f t="shared" si="8"/>
        <v>0</v>
      </c>
      <c r="T43" s="485">
        <v>7.6209300000000004E-4</v>
      </c>
      <c r="U43" s="367">
        <f t="shared" si="9"/>
        <v>0</v>
      </c>
    </row>
    <row r="44" spans="2:21" x14ac:dyDescent="0.3">
      <c r="J44" s="481"/>
      <c r="K44" s="435" t="s">
        <v>643</v>
      </c>
      <c r="L44" s="51"/>
      <c r="M44" s="482">
        <v>1.074E-2</v>
      </c>
      <c r="N44" s="494"/>
      <c r="O44" s="367">
        <f t="shared" si="6"/>
        <v>0</v>
      </c>
      <c r="P44" s="484">
        <v>1.9282259999999999E-3</v>
      </c>
      <c r="Q44" s="367">
        <f t="shared" si="7"/>
        <v>0</v>
      </c>
      <c r="R44" s="485">
        <v>1.0064259999999999E-3</v>
      </c>
      <c r="S44" s="367">
        <f t="shared" si="8"/>
        <v>0</v>
      </c>
      <c r="T44" s="485">
        <v>6.7983000000000003E-5</v>
      </c>
      <c r="U44" s="367">
        <f t="shared" si="9"/>
        <v>0</v>
      </c>
    </row>
    <row r="45" spans="2:21" x14ac:dyDescent="0.3">
      <c r="J45" s="481"/>
      <c r="K45" s="435" t="s">
        <v>644</v>
      </c>
      <c r="L45" s="51"/>
      <c r="M45" s="482">
        <v>7.5799999999999999E-3</v>
      </c>
      <c r="N45" s="494"/>
      <c r="O45" s="367">
        <f t="shared" si="6"/>
        <v>0</v>
      </c>
      <c r="P45" s="484">
        <v>3.8080330000000002E-3</v>
      </c>
      <c r="Q45" s="367">
        <f t="shared" si="7"/>
        <v>0</v>
      </c>
      <c r="R45" s="485">
        <v>2.8560249999999999E-3</v>
      </c>
      <c r="S45" s="367">
        <f t="shared" si="8"/>
        <v>0</v>
      </c>
      <c r="T45" s="485">
        <v>1.904017E-3</v>
      </c>
      <c r="U45" s="367">
        <f t="shared" si="9"/>
        <v>0</v>
      </c>
    </row>
    <row r="46" spans="2:21" x14ac:dyDescent="0.3">
      <c r="J46" s="481"/>
      <c r="K46" s="435" t="s">
        <v>645</v>
      </c>
      <c r="L46" s="51"/>
      <c r="M46" s="482">
        <v>9.8700000000000003E-3</v>
      </c>
      <c r="N46" s="494"/>
      <c r="O46" s="367">
        <f t="shared" si="6"/>
        <v>0</v>
      </c>
      <c r="P46" s="484">
        <v>4.4795700000000004E-3</v>
      </c>
      <c r="Q46" s="367">
        <f t="shared" si="7"/>
        <v>0</v>
      </c>
      <c r="R46" s="485">
        <v>3.3596780000000001E-3</v>
      </c>
      <c r="S46" s="367">
        <f t="shared" si="8"/>
        <v>0</v>
      </c>
      <c r="T46" s="485">
        <v>2.2397850000000002E-3</v>
      </c>
      <c r="U46" s="367">
        <f t="shared" si="9"/>
        <v>0</v>
      </c>
    </row>
    <row r="47" spans="2:21" x14ac:dyDescent="0.3">
      <c r="J47" s="481"/>
      <c r="K47" s="435" t="s">
        <v>646</v>
      </c>
      <c r="L47" s="51"/>
      <c r="M47" s="482">
        <v>2.3810000000000001E-2</v>
      </c>
      <c r="N47" s="494"/>
      <c r="O47" s="367">
        <f t="shared" si="6"/>
        <v>0</v>
      </c>
      <c r="P47" s="484">
        <v>8.5050750000000008E-3</v>
      </c>
      <c r="Q47" s="367">
        <f t="shared" si="7"/>
        <v>0</v>
      </c>
      <c r="R47" s="485">
        <v>6.3788059999999999E-3</v>
      </c>
      <c r="S47" s="367">
        <f t="shared" si="8"/>
        <v>0</v>
      </c>
      <c r="T47" s="485">
        <v>4.2525369999999998E-3</v>
      </c>
      <c r="U47" s="367">
        <f t="shared" si="9"/>
        <v>0</v>
      </c>
    </row>
    <row r="48" spans="2:21" x14ac:dyDescent="0.3">
      <c r="J48" s="481"/>
      <c r="K48" s="435" t="s">
        <v>647</v>
      </c>
      <c r="L48" s="51"/>
      <c r="M48" s="482">
        <v>1.074E-2</v>
      </c>
      <c r="N48" s="494"/>
      <c r="O48" s="367">
        <f t="shared" si="6"/>
        <v>0</v>
      </c>
      <c r="P48" s="484">
        <v>1.823381E-3</v>
      </c>
      <c r="Q48" s="367">
        <f t="shared" si="7"/>
        <v>0</v>
      </c>
      <c r="R48" s="485">
        <v>1.3675359999999999E-3</v>
      </c>
      <c r="S48" s="367">
        <f t="shared" si="8"/>
        <v>0</v>
      </c>
      <c r="T48" s="485">
        <v>9.1169099999999996E-4</v>
      </c>
      <c r="U48" s="367">
        <f t="shared" si="9"/>
        <v>0</v>
      </c>
    </row>
    <row r="49" spans="10:21" x14ac:dyDescent="0.3">
      <c r="J49" s="481"/>
      <c r="K49" s="435" t="s">
        <v>648</v>
      </c>
      <c r="L49" s="51"/>
      <c r="M49" s="482">
        <v>2.3810000000000001E-2</v>
      </c>
      <c r="N49" s="494"/>
      <c r="O49" s="367">
        <f t="shared" si="6"/>
        <v>0</v>
      </c>
      <c r="P49" s="484">
        <v>6.3218190000000002E-3</v>
      </c>
      <c r="Q49" s="367">
        <f t="shared" si="7"/>
        <v>0</v>
      </c>
      <c r="R49" s="485">
        <v>4.741365E-3</v>
      </c>
      <c r="S49" s="367">
        <f t="shared" si="8"/>
        <v>0</v>
      </c>
      <c r="T49" s="485">
        <v>3.1609099999999998E-3</v>
      </c>
      <c r="U49" s="367">
        <f t="shared" si="9"/>
        <v>0</v>
      </c>
    </row>
    <row r="50" spans="10:21" x14ac:dyDescent="0.3">
      <c r="J50" s="481"/>
      <c r="K50" s="435" t="s">
        <v>649</v>
      </c>
      <c r="L50" s="51"/>
      <c r="M50" s="482">
        <v>2.3810000000000001E-2</v>
      </c>
      <c r="N50" s="494"/>
      <c r="O50" s="367">
        <f t="shared" si="6"/>
        <v>0</v>
      </c>
      <c r="P50" s="484">
        <v>1.0446456E-2</v>
      </c>
      <c r="Q50" s="367">
        <f t="shared" si="7"/>
        <v>0</v>
      </c>
      <c r="R50" s="485">
        <v>7.8348419999999998E-3</v>
      </c>
      <c r="S50" s="367">
        <f t="shared" si="8"/>
        <v>0</v>
      </c>
      <c r="T50" s="485">
        <v>5.2232279999999999E-3</v>
      </c>
      <c r="U50" s="367">
        <f t="shared" si="9"/>
        <v>0</v>
      </c>
    </row>
    <row r="51" spans="10:21" x14ac:dyDescent="0.3">
      <c r="J51" s="481"/>
      <c r="K51" s="435" t="s">
        <v>650</v>
      </c>
      <c r="L51" s="51"/>
      <c r="M51" s="482">
        <v>1.1809999999999999E-2</v>
      </c>
      <c r="N51" s="494"/>
      <c r="O51" s="367">
        <f t="shared" si="6"/>
        <v>0</v>
      </c>
      <c r="P51" s="484">
        <v>6.0183229999999999E-3</v>
      </c>
      <c r="Q51" s="367">
        <f t="shared" si="7"/>
        <v>0</v>
      </c>
      <c r="R51" s="485">
        <v>4.5137420000000003E-3</v>
      </c>
      <c r="S51" s="367">
        <f t="shared" si="8"/>
        <v>0</v>
      </c>
      <c r="T51" s="485">
        <v>3.0091610000000002E-3</v>
      </c>
      <c r="U51" s="367">
        <f t="shared" si="9"/>
        <v>0</v>
      </c>
    </row>
    <row r="52" spans="10:21" x14ac:dyDescent="0.3">
      <c r="J52" s="481"/>
      <c r="K52" s="435" t="s">
        <v>651</v>
      </c>
      <c r="L52" s="51"/>
      <c r="M52" s="482">
        <v>4.2599999999999999E-3</v>
      </c>
      <c r="N52" s="494"/>
      <c r="O52" s="367">
        <f t="shared" si="6"/>
        <v>0</v>
      </c>
      <c r="P52" s="484">
        <v>2.1442100000000001E-4</v>
      </c>
      <c r="Q52" s="367">
        <f t="shared" si="7"/>
        <v>0</v>
      </c>
      <c r="R52" s="485">
        <v>1.04943E-4</v>
      </c>
      <c r="S52" s="367">
        <f t="shared" si="8"/>
        <v>0</v>
      </c>
      <c r="T52" s="485">
        <v>0</v>
      </c>
      <c r="U52" s="367">
        <f t="shared" si="9"/>
        <v>0</v>
      </c>
    </row>
    <row r="53" spans="10:21" x14ac:dyDescent="0.3">
      <c r="J53" s="481"/>
      <c r="K53" s="435" t="s">
        <v>652</v>
      </c>
      <c r="L53" s="51"/>
      <c r="M53" s="482">
        <v>8.4600000000000005E-3</v>
      </c>
      <c r="N53" s="494"/>
      <c r="O53" s="367">
        <f t="shared" si="6"/>
        <v>0</v>
      </c>
      <c r="P53" s="484">
        <v>2.4725390000000002E-3</v>
      </c>
      <c r="Q53" s="367">
        <f t="shared" si="7"/>
        <v>0</v>
      </c>
      <c r="R53" s="485">
        <v>1.399345E-3</v>
      </c>
      <c r="S53" s="367">
        <f t="shared" si="8"/>
        <v>0</v>
      </c>
      <c r="T53" s="485">
        <v>0</v>
      </c>
      <c r="U53" s="367">
        <f t="shared" si="9"/>
        <v>0</v>
      </c>
    </row>
    <row r="54" spans="10:21" x14ac:dyDescent="0.3">
      <c r="J54" s="481"/>
      <c r="K54" s="435" t="s">
        <v>653</v>
      </c>
      <c r="L54" s="51"/>
      <c r="M54" s="482">
        <v>5.7400000000000003E-3</v>
      </c>
      <c r="N54" s="494"/>
      <c r="O54" s="367">
        <f t="shared" si="6"/>
        <v>0</v>
      </c>
      <c r="P54" s="484">
        <v>4.8430369999999997E-3</v>
      </c>
      <c r="Q54" s="367">
        <f t="shared" si="7"/>
        <v>0</v>
      </c>
      <c r="R54" s="485">
        <v>3.6322780000000001E-3</v>
      </c>
      <c r="S54" s="367">
        <f t="shared" si="8"/>
        <v>0</v>
      </c>
      <c r="T54" s="485">
        <v>2.421519E-3</v>
      </c>
      <c r="U54" s="367">
        <f t="shared" si="9"/>
        <v>0</v>
      </c>
    </row>
    <row r="55" spans="10:21" x14ac:dyDescent="0.3">
      <c r="J55" s="481"/>
      <c r="K55" s="435" t="s">
        <v>654</v>
      </c>
      <c r="L55" s="51"/>
      <c r="M55" s="482">
        <v>6.7499999999999999E-3</v>
      </c>
      <c r="N55" s="494"/>
      <c r="O55" s="367">
        <f t="shared" si="6"/>
        <v>0</v>
      </c>
      <c r="P55" s="484">
        <v>2.3628740000000001E-3</v>
      </c>
      <c r="Q55" s="367">
        <f t="shared" si="7"/>
        <v>0</v>
      </c>
      <c r="R55" s="485">
        <v>1.7721550000000001E-3</v>
      </c>
      <c r="S55" s="367">
        <f t="shared" si="8"/>
        <v>0</v>
      </c>
      <c r="T55" s="485">
        <v>1.181437E-3</v>
      </c>
      <c r="U55" s="367">
        <f t="shared" si="9"/>
        <v>0</v>
      </c>
    </row>
    <row r="56" spans="10:21" x14ac:dyDescent="0.3">
      <c r="J56" s="481"/>
      <c r="K56" s="435" t="s">
        <v>655</v>
      </c>
      <c r="L56" s="51"/>
      <c r="M56" s="482">
        <v>9.8700000000000003E-3</v>
      </c>
      <c r="N56" s="494"/>
      <c r="O56" s="367">
        <f t="shared" si="6"/>
        <v>0</v>
      </c>
      <c r="P56" s="484">
        <v>2.8521309999999999E-3</v>
      </c>
      <c r="Q56" s="367">
        <f t="shared" si="7"/>
        <v>0</v>
      </c>
      <c r="R56" s="485">
        <v>2.1390979999999999E-3</v>
      </c>
      <c r="S56" s="367">
        <f t="shared" si="8"/>
        <v>0</v>
      </c>
      <c r="T56" s="485">
        <v>1.4260659999999999E-3</v>
      </c>
      <c r="U56" s="367">
        <f t="shared" si="9"/>
        <v>0</v>
      </c>
    </row>
    <row r="57" spans="10:21" x14ac:dyDescent="0.3">
      <c r="J57" s="481"/>
      <c r="K57" s="435" t="s">
        <v>656</v>
      </c>
      <c r="L57" s="51"/>
      <c r="M57" s="482">
        <v>4.2599999999999999E-3</v>
      </c>
      <c r="N57" s="494"/>
      <c r="O57" s="367">
        <f t="shared" si="6"/>
        <v>0</v>
      </c>
      <c r="P57" s="484">
        <v>2.210699E-3</v>
      </c>
      <c r="Q57" s="367">
        <f t="shared" si="7"/>
        <v>0</v>
      </c>
      <c r="R57" s="485">
        <v>1.6580239999999999E-3</v>
      </c>
      <c r="S57" s="367">
        <f t="shared" si="8"/>
        <v>0</v>
      </c>
      <c r="T57" s="485">
        <v>1.105349E-3</v>
      </c>
      <c r="U57" s="367">
        <f t="shared" si="9"/>
        <v>0</v>
      </c>
    </row>
    <row r="58" spans="10:21" x14ac:dyDescent="0.3">
      <c r="J58" s="481"/>
      <c r="K58" s="435" t="s">
        <v>657</v>
      </c>
      <c r="L58" s="51"/>
      <c r="M58" s="482">
        <v>7.5799999999999999E-3</v>
      </c>
      <c r="N58" s="494"/>
      <c r="O58" s="367">
        <f t="shared" si="6"/>
        <v>0</v>
      </c>
      <c r="P58" s="484">
        <v>2.464089E-3</v>
      </c>
      <c r="Q58" s="367">
        <f t="shared" si="7"/>
        <v>0</v>
      </c>
      <c r="R58" s="485">
        <v>1.332459E-3</v>
      </c>
      <c r="S58" s="367">
        <f t="shared" si="8"/>
        <v>0</v>
      </c>
      <c r="T58" s="485">
        <v>5.2861599999999998E-4</v>
      </c>
      <c r="U58" s="367">
        <f t="shared" si="9"/>
        <v>0</v>
      </c>
    </row>
    <row r="59" spans="10:21" x14ac:dyDescent="0.3">
      <c r="J59" s="481"/>
      <c r="K59" s="435" t="s">
        <v>658</v>
      </c>
      <c r="L59" s="51"/>
      <c r="M59" s="482">
        <v>1.1379999999999999E-2</v>
      </c>
      <c r="N59" s="494"/>
      <c r="O59" s="367">
        <f t="shared" si="6"/>
        <v>0</v>
      </c>
      <c r="P59" s="484">
        <v>4.8931240000000004E-3</v>
      </c>
      <c r="Q59" s="367">
        <f t="shared" si="7"/>
        <v>0</v>
      </c>
      <c r="R59" s="485">
        <v>4.0278120000000004E-3</v>
      </c>
      <c r="S59" s="367">
        <f t="shared" si="8"/>
        <v>0</v>
      </c>
      <c r="T59" s="485">
        <v>2.272629E-3</v>
      </c>
      <c r="U59" s="367">
        <f t="shared" si="9"/>
        <v>0</v>
      </c>
    </row>
    <row r="60" spans="10:21" x14ac:dyDescent="0.3">
      <c r="J60" s="481"/>
      <c r="K60" s="435" t="s">
        <v>659</v>
      </c>
      <c r="L60" s="51"/>
      <c r="M60" s="482">
        <v>1.1809999999999999E-2</v>
      </c>
      <c r="N60" s="494"/>
      <c r="O60" s="367">
        <f t="shared" si="6"/>
        <v>0</v>
      </c>
      <c r="P60" s="484">
        <v>4.038374E-3</v>
      </c>
      <c r="Q60" s="367">
        <f t="shared" si="7"/>
        <v>0</v>
      </c>
      <c r="R60" s="485">
        <v>3.02878E-3</v>
      </c>
      <c r="S60" s="367">
        <f t="shared" si="8"/>
        <v>0</v>
      </c>
      <c r="T60" s="485">
        <v>2.019187E-3</v>
      </c>
      <c r="U60" s="367">
        <f t="shared" si="9"/>
        <v>0</v>
      </c>
    </row>
    <row r="61" spans="10:21" x14ac:dyDescent="0.3">
      <c r="J61" s="481"/>
      <c r="K61" s="435" t="s">
        <v>660</v>
      </c>
      <c r="L61" s="51"/>
      <c r="M61" s="482">
        <v>7.5799999999999999E-3</v>
      </c>
      <c r="N61" s="494"/>
      <c r="O61" s="367">
        <f t="shared" si="6"/>
        <v>0</v>
      </c>
      <c r="P61" s="484">
        <v>2.1044900000000001E-3</v>
      </c>
      <c r="Q61" s="367">
        <f t="shared" si="7"/>
        <v>0</v>
      </c>
      <c r="R61" s="485">
        <v>1.21605E-3</v>
      </c>
      <c r="S61" s="367">
        <f t="shared" si="8"/>
        <v>0</v>
      </c>
      <c r="T61" s="485">
        <v>1.7604E-4</v>
      </c>
      <c r="U61" s="367">
        <f t="shared" si="9"/>
        <v>0</v>
      </c>
    </row>
    <row r="62" spans="10:21" x14ac:dyDescent="0.3">
      <c r="J62" s="481"/>
      <c r="K62" s="435" t="s">
        <v>661</v>
      </c>
      <c r="L62" s="51"/>
      <c r="M62" s="482">
        <v>4.2599999999999999E-3</v>
      </c>
      <c r="N62" s="494"/>
      <c r="O62" s="367">
        <f t="shared" si="6"/>
        <v>0</v>
      </c>
      <c r="P62" s="484">
        <v>6.1182999999999995E-4</v>
      </c>
      <c r="Q62" s="367">
        <f t="shared" si="7"/>
        <v>0</v>
      </c>
      <c r="R62" s="485">
        <v>4.0490099999999999E-4</v>
      </c>
      <c r="S62" s="367">
        <f t="shared" si="8"/>
        <v>0</v>
      </c>
      <c r="T62" s="485">
        <v>1.3228200000000001E-4</v>
      </c>
      <c r="U62" s="367">
        <f t="shared" si="9"/>
        <v>0</v>
      </c>
    </row>
    <row r="63" spans="10:21" x14ac:dyDescent="0.3">
      <c r="J63" s="481"/>
      <c r="K63" s="435" t="s">
        <v>662</v>
      </c>
      <c r="L63" s="51"/>
      <c r="M63" s="482">
        <v>1.1379999999999999E-2</v>
      </c>
      <c r="N63" s="494"/>
      <c r="O63" s="367">
        <f t="shared" si="6"/>
        <v>0</v>
      </c>
      <c r="P63" s="484">
        <v>4.4101230000000002E-3</v>
      </c>
      <c r="Q63" s="367">
        <f t="shared" si="7"/>
        <v>0</v>
      </c>
      <c r="R63" s="485">
        <v>3.3364430000000001E-3</v>
      </c>
      <c r="S63" s="367">
        <f t="shared" si="8"/>
        <v>0</v>
      </c>
      <c r="T63" s="485">
        <v>2.277912E-3</v>
      </c>
      <c r="U63" s="367">
        <f t="shared" si="9"/>
        <v>0</v>
      </c>
    </row>
    <row r="64" spans="10:21" x14ac:dyDescent="0.3">
      <c r="J64" s="481"/>
      <c r="K64" s="435" t="s">
        <v>663</v>
      </c>
      <c r="L64" s="51"/>
      <c r="M64" s="482">
        <v>9.8700000000000003E-3</v>
      </c>
      <c r="N64" s="494"/>
      <c r="O64" s="367">
        <f t="shared" si="6"/>
        <v>0</v>
      </c>
      <c r="P64" s="484">
        <v>3.833108E-3</v>
      </c>
      <c r="Q64" s="367">
        <f t="shared" si="7"/>
        <v>0</v>
      </c>
      <c r="R64" s="485">
        <v>2.874831E-3</v>
      </c>
      <c r="S64" s="367">
        <f t="shared" si="8"/>
        <v>0</v>
      </c>
      <c r="T64" s="485">
        <v>1.916554E-3</v>
      </c>
      <c r="U64" s="367">
        <f t="shared" si="9"/>
        <v>0</v>
      </c>
    </row>
    <row r="65" spans="10:21" x14ac:dyDescent="0.3">
      <c r="J65" s="481"/>
      <c r="K65" s="435" t="s">
        <v>664</v>
      </c>
      <c r="L65" s="51"/>
      <c r="M65" s="482">
        <v>1.1809999999999999E-2</v>
      </c>
      <c r="N65" s="494"/>
      <c r="O65" s="367">
        <f t="shared" si="6"/>
        <v>0</v>
      </c>
      <c r="P65" s="484">
        <v>1.361842E-3</v>
      </c>
      <c r="Q65" s="367">
        <f t="shared" si="7"/>
        <v>0</v>
      </c>
      <c r="R65" s="485">
        <v>6.0049300000000001E-4</v>
      </c>
      <c r="S65" s="367">
        <f t="shared" si="8"/>
        <v>0</v>
      </c>
      <c r="T65" s="485">
        <v>3.8512E-5</v>
      </c>
      <c r="U65" s="367">
        <f t="shared" si="9"/>
        <v>0</v>
      </c>
    </row>
    <row r="66" spans="10:21" x14ac:dyDescent="0.3">
      <c r="J66" s="481"/>
      <c r="K66" s="435" t="s">
        <v>665</v>
      </c>
      <c r="L66" s="51"/>
      <c r="M66" s="482">
        <v>2.3810000000000001E-2</v>
      </c>
      <c r="N66" s="494"/>
      <c r="O66" s="367">
        <f t="shared" si="6"/>
        <v>0</v>
      </c>
      <c r="P66" s="484">
        <v>6.7551900000000003E-3</v>
      </c>
      <c r="Q66" s="367">
        <f t="shared" si="7"/>
        <v>0</v>
      </c>
      <c r="R66" s="485">
        <v>4.2561029999999998E-3</v>
      </c>
      <c r="S66" s="367">
        <f t="shared" si="8"/>
        <v>0</v>
      </c>
      <c r="T66" s="485">
        <v>2.0300269999999998E-3</v>
      </c>
      <c r="U66" s="367">
        <f t="shared" si="9"/>
        <v>0</v>
      </c>
    </row>
    <row r="67" spans="10:21" x14ac:dyDescent="0.3">
      <c r="J67" s="481"/>
      <c r="K67" s="435" t="s">
        <v>666</v>
      </c>
      <c r="L67" s="51"/>
      <c r="M67" s="482">
        <v>4.2599999999999999E-3</v>
      </c>
      <c r="N67" s="494"/>
      <c r="O67" s="367">
        <f t="shared" si="6"/>
        <v>0</v>
      </c>
      <c r="P67" s="484">
        <v>5.7166900000000002E-4</v>
      </c>
      <c r="Q67" s="367">
        <f t="shared" si="7"/>
        <v>0</v>
      </c>
      <c r="R67" s="485">
        <v>4.2875200000000002E-4</v>
      </c>
      <c r="S67" s="367">
        <f t="shared" si="8"/>
        <v>0</v>
      </c>
      <c r="T67" s="485">
        <v>2.85834E-4</v>
      </c>
      <c r="U67" s="367">
        <f t="shared" si="9"/>
        <v>0</v>
      </c>
    </row>
    <row r="68" spans="10:21" x14ac:dyDescent="0.3">
      <c r="J68" s="481"/>
      <c r="K68" s="435" t="s">
        <v>667</v>
      </c>
      <c r="L68" s="51"/>
      <c r="M68" s="482">
        <v>1.1809999999999999E-2</v>
      </c>
      <c r="N68" s="494"/>
      <c r="O68" s="367">
        <f t="shared" si="6"/>
        <v>0</v>
      </c>
      <c r="P68" s="484">
        <v>5.7723749999999997E-3</v>
      </c>
      <c r="Q68" s="367">
        <f t="shared" si="7"/>
        <v>0</v>
      </c>
      <c r="R68" s="485">
        <v>4.3292809999999999E-3</v>
      </c>
      <c r="S68" s="367">
        <f t="shared" si="8"/>
        <v>0</v>
      </c>
      <c r="T68" s="485">
        <v>2.8861870000000001E-3</v>
      </c>
      <c r="U68" s="367">
        <f t="shared" si="9"/>
        <v>0</v>
      </c>
    </row>
    <row r="69" spans="10:21" x14ac:dyDescent="0.3">
      <c r="J69" s="481"/>
      <c r="K69" s="435" t="s">
        <v>668</v>
      </c>
      <c r="L69" s="51"/>
      <c r="M69" s="482">
        <v>5.7400000000000003E-3</v>
      </c>
      <c r="N69" s="494"/>
      <c r="O69" s="367">
        <f t="shared" si="6"/>
        <v>0</v>
      </c>
      <c r="P69" s="484">
        <v>4.6131219999999999E-3</v>
      </c>
      <c r="Q69" s="367">
        <f t="shared" si="7"/>
        <v>0</v>
      </c>
      <c r="R69" s="485">
        <v>3.4598419999999999E-3</v>
      </c>
      <c r="S69" s="367">
        <f t="shared" si="8"/>
        <v>0</v>
      </c>
      <c r="T69" s="485">
        <v>2.3065609999999999E-3</v>
      </c>
      <c r="U69" s="367">
        <f t="shared" si="9"/>
        <v>0</v>
      </c>
    </row>
    <row r="70" spans="10:21" x14ac:dyDescent="0.3">
      <c r="J70" s="481"/>
      <c r="K70" s="435" t="s">
        <v>669</v>
      </c>
      <c r="L70" s="51"/>
      <c r="M70" s="482">
        <v>1.1379999999999999E-2</v>
      </c>
      <c r="N70" s="494"/>
      <c r="O70" s="367">
        <f t="shared" si="6"/>
        <v>0</v>
      </c>
      <c r="P70" s="484">
        <v>4.2649619999999997E-3</v>
      </c>
      <c r="Q70" s="367">
        <f t="shared" si="7"/>
        <v>0</v>
      </c>
      <c r="R70" s="485">
        <v>3.1987209999999999E-3</v>
      </c>
      <c r="S70" s="367">
        <f t="shared" si="8"/>
        <v>0</v>
      </c>
      <c r="T70" s="485">
        <v>2.1324809999999999E-3</v>
      </c>
      <c r="U70" s="367">
        <f t="shared" si="9"/>
        <v>0</v>
      </c>
    </row>
    <row r="71" spans="10:21" x14ac:dyDescent="0.3">
      <c r="J71" s="481"/>
      <c r="K71" s="435" t="s">
        <v>670</v>
      </c>
      <c r="L71" s="51"/>
      <c r="M71" s="482">
        <v>5.7400000000000003E-3</v>
      </c>
      <c r="N71" s="494"/>
      <c r="O71" s="367">
        <f t="shared" si="6"/>
        <v>0</v>
      </c>
      <c r="P71" s="484">
        <v>1.2306019999999999E-3</v>
      </c>
      <c r="Q71" s="367">
        <f t="shared" si="7"/>
        <v>0</v>
      </c>
      <c r="R71" s="485">
        <v>8.6692099999999999E-4</v>
      </c>
      <c r="S71" s="367">
        <f t="shared" si="8"/>
        <v>0</v>
      </c>
      <c r="T71" s="485">
        <v>5.4930599999999995E-4</v>
      </c>
      <c r="U71" s="367">
        <f t="shared" si="9"/>
        <v>0</v>
      </c>
    </row>
    <row r="72" spans="10:21" ht="15" thickBot="1" x14ac:dyDescent="0.35">
      <c r="J72" s="517" t="s">
        <v>480</v>
      </c>
      <c r="K72" s="518"/>
      <c r="L72" s="519">
        <f>SUM(L12:L71)</f>
        <v>0</v>
      </c>
      <c r="M72" s="517" t="e">
        <f>O72/$L$72</f>
        <v>#DIV/0!</v>
      </c>
      <c r="N72" s="518"/>
      <c r="O72" s="380">
        <f>SUM(O12:O71)</f>
        <v>0</v>
      </c>
      <c r="P72" s="518" t="e">
        <f>Q72/$L$72</f>
        <v>#DIV/0!</v>
      </c>
      <c r="Q72" s="380">
        <f>SUM(Q12:Q71)</f>
        <v>0</v>
      </c>
      <c r="R72" s="518" t="e">
        <f>S72/$L$72</f>
        <v>#DIV/0!</v>
      </c>
      <c r="S72" s="380">
        <f>SUM(S12:S71)</f>
        <v>0</v>
      </c>
      <c r="T72" s="518" t="e">
        <f>U72/$L$72</f>
        <v>#DIV/0!</v>
      </c>
      <c r="U72" s="380">
        <f>SUM(U12:U71)</f>
        <v>0</v>
      </c>
    </row>
    <row r="73" spans="10:21" x14ac:dyDescent="0.3"/>
    <row r="74" spans="10:21" x14ac:dyDescent="0.3"/>
    <row r="75" spans="10:21" x14ac:dyDescent="0.3"/>
    <row r="76" spans="10:21" x14ac:dyDescent="0.3"/>
  </sheetData>
  <sheetProtection algorithmName="SHA-512" hashValue="nqXRRFRNmNxL0uJrMtvCozXF8lH1FUKrFeBbXJ5SmbPl84PT4zWU39eflIPu4KGtVuRNrCx59/DWWd6/dt7Sig==" saltValue="hl45Wa3zGSvFS4f/VkK8Bw==" spinCount="100000" sheet="1" objects="1" scenarios="1"/>
  <protectedRanges>
    <protectedRange sqref="L12:L26" name="Range1"/>
  </protectedRanges>
  <mergeCells count="16">
    <mergeCell ref="L6:L7"/>
    <mergeCell ref="B27:G30"/>
    <mergeCell ref="T9:U9"/>
    <mergeCell ref="D10:G10"/>
    <mergeCell ref="B9:G9"/>
    <mergeCell ref="B14:G14"/>
    <mergeCell ref="B19:G19"/>
    <mergeCell ref="R9:S9"/>
    <mergeCell ref="P9:Q9"/>
    <mergeCell ref="M9:O9"/>
    <mergeCell ref="J9:L9"/>
    <mergeCell ref="M11:N11"/>
    <mergeCell ref="M10:N10"/>
    <mergeCell ref="J10:K10"/>
    <mergeCell ref="B24:G26"/>
    <mergeCell ref="J6:K7"/>
  </mergeCells>
  <hyperlinks>
    <hyperlink ref="B31" r:id="rId1" xr:uid="{5586E2A6-0474-4D5D-B2AB-FE52335C7BF5}"/>
    <hyperlink ref="B33" r:id="rId2" xr:uid="{173F35E1-0786-4EF4-9351-43D659FBFE12}"/>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140A34CF-C51B-4CB9-8056-3738D7642023}">
          <x14:formula1>
            <xm:f>Backup!$D$12:$D$13</xm:f>
          </x14:formula1>
          <xm:sqref>L6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627F-7D2C-4016-9D1D-FD34B9084EB1}">
  <sheetPr codeName="Sheet8">
    <tabColor theme="0" tint="-0.249977111117893"/>
  </sheetPr>
  <dimension ref="A1:U148"/>
  <sheetViews>
    <sheetView showGridLines="0" zoomScale="70" zoomScaleNormal="70" workbookViewId="0">
      <selection activeCell="E14" sqref="E14"/>
    </sheetView>
  </sheetViews>
  <sheetFormatPr defaultColWidth="0" defaultRowHeight="14.4" zeroHeight="1" x14ac:dyDescent="0.3"/>
  <cols>
    <col min="1" max="1" width="3.33203125" customWidth="1"/>
    <col min="2" max="2" width="29.6640625" customWidth="1"/>
    <col min="3" max="5" width="26.5546875" customWidth="1"/>
    <col min="6" max="6" width="38.33203125" customWidth="1"/>
    <col min="7" max="9" width="26.5546875" customWidth="1"/>
    <col min="10" max="10" width="31.33203125" customWidth="1"/>
    <col min="11" max="11" width="31.44140625" customWidth="1"/>
    <col min="12" max="13" width="26.5546875" customWidth="1"/>
    <col min="14" max="14" width="28.6640625" customWidth="1"/>
    <col min="15" max="18" width="26.5546875" customWidth="1"/>
    <col min="19" max="19" width="34.5546875" customWidth="1"/>
    <col min="20" max="21" width="26.5546875" customWidth="1"/>
    <col min="22" max="16384" width="26.5546875" hidden="1"/>
  </cols>
  <sheetData>
    <row r="1" spans="2:10" ht="15.6" customHeight="1" x14ac:dyDescent="0.35">
      <c r="B1" s="37"/>
    </row>
    <row r="2" spans="2:10" x14ac:dyDescent="0.3"/>
    <row r="3" spans="2:10" x14ac:dyDescent="0.3">
      <c r="B3" s="6" t="s">
        <v>2</v>
      </c>
      <c r="D3" t="s">
        <v>466</v>
      </c>
      <c r="F3" t="s">
        <v>465</v>
      </c>
      <c r="H3" s="1" t="s">
        <v>490</v>
      </c>
      <c r="I3" s="11" t="s">
        <v>466</v>
      </c>
      <c r="J3" s="11" t="s">
        <v>588</v>
      </c>
    </row>
    <row r="4" spans="2:10" x14ac:dyDescent="0.3">
      <c r="B4" t="s">
        <v>607</v>
      </c>
      <c r="D4" t="s">
        <v>467</v>
      </c>
      <c r="F4" t="s">
        <v>723</v>
      </c>
      <c r="H4" s="10" t="s">
        <v>0</v>
      </c>
      <c r="I4" s="9" t="s">
        <v>478</v>
      </c>
      <c r="J4" s="9">
        <v>3412.1416330000002</v>
      </c>
    </row>
    <row r="5" spans="2:10" ht="16.2" x14ac:dyDescent="0.3">
      <c r="B5" t="s">
        <v>4</v>
      </c>
      <c r="D5" t="s">
        <v>469</v>
      </c>
      <c r="F5" t="s">
        <v>470</v>
      </c>
      <c r="H5" s="10" t="s">
        <v>549</v>
      </c>
      <c r="I5" s="9" t="s">
        <v>491</v>
      </c>
      <c r="J5" s="9">
        <v>100000</v>
      </c>
    </row>
    <row r="6" spans="2:10" x14ac:dyDescent="0.3">
      <c r="B6" s="174" t="s">
        <v>3</v>
      </c>
      <c r="D6" t="s">
        <v>468</v>
      </c>
      <c r="F6" t="s">
        <v>471</v>
      </c>
      <c r="H6" s="10" t="s">
        <v>534</v>
      </c>
      <c r="I6" s="9" t="s">
        <v>492</v>
      </c>
      <c r="J6" s="9">
        <v>138000</v>
      </c>
    </row>
    <row r="7" spans="2:10" x14ac:dyDescent="0.3">
      <c r="B7" s="174" t="s">
        <v>731</v>
      </c>
      <c r="C7" s="113" t="s">
        <v>591</v>
      </c>
      <c r="F7" t="s">
        <v>472</v>
      </c>
      <c r="H7" s="10" t="s">
        <v>535</v>
      </c>
      <c r="I7" s="9" t="s">
        <v>493</v>
      </c>
      <c r="J7" s="9">
        <v>146000</v>
      </c>
    </row>
    <row r="8" spans="2:10" x14ac:dyDescent="0.3">
      <c r="B8" s="174" t="s">
        <v>589</v>
      </c>
      <c r="C8" s="113" t="s">
        <v>591</v>
      </c>
      <c r="F8" t="s">
        <v>473</v>
      </c>
      <c r="H8" s="10" t="s">
        <v>545</v>
      </c>
      <c r="I8" s="9" t="s">
        <v>494</v>
      </c>
      <c r="J8" s="9">
        <v>1194000</v>
      </c>
    </row>
    <row r="9" spans="2:10" x14ac:dyDescent="0.3">
      <c r="B9" s="64" t="s">
        <v>590</v>
      </c>
      <c r="F9" t="s">
        <v>474</v>
      </c>
      <c r="J9" s="8"/>
    </row>
    <row r="10" spans="2:10" x14ac:dyDescent="0.3">
      <c r="B10" s="64" t="s">
        <v>524</v>
      </c>
      <c r="F10" t="s">
        <v>498</v>
      </c>
      <c r="J10" s="8"/>
    </row>
    <row r="11" spans="2:10" x14ac:dyDescent="0.3">
      <c r="B11" t="s">
        <v>464</v>
      </c>
      <c r="D11" s="172" t="s">
        <v>707</v>
      </c>
      <c r="F11" t="s">
        <v>499</v>
      </c>
      <c r="J11" s="8"/>
    </row>
    <row r="12" spans="2:10" x14ac:dyDescent="0.3">
      <c r="B12" t="s">
        <v>458</v>
      </c>
      <c r="D12" s="173" t="s">
        <v>708</v>
      </c>
      <c r="J12" s="8"/>
    </row>
    <row r="13" spans="2:10" x14ac:dyDescent="0.3">
      <c r="B13" t="s">
        <v>457</v>
      </c>
      <c r="D13" s="173" t="s">
        <v>709</v>
      </c>
    </row>
    <row r="14" spans="2:10" x14ac:dyDescent="0.3">
      <c r="B14" t="s">
        <v>456</v>
      </c>
    </row>
    <row r="15" spans="2:10" x14ac:dyDescent="0.3">
      <c r="B15" t="s">
        <v>460</v>
      </c>
    </row>
    <row r="16" spans="2:10" x14ac:dyDescent="0.3">
      <c r="B16" t="s">
        <v>218</v>
      </c>
    </row>
    <row r="17" spans="2:20" x14ac:dyDescent="0.3">
      <c r="B17" t="s">
        <v>462</v>
      </c>
    </row>
    <row r="18" spans="2:20" x14ac:dyDescent="0.3">
      <c r="B18" t="s">
        <v>463</v>
      </c>
    </row>
    <row r="19" spans="2:20" x14ac:dyDescent="0.3"/>
    <row r="20" spans="2:20" x14ac:dyDescent="0.3">
      <c r="B20" s="1" t="s">
        <v>437</v>
      </c>
    </row>
    <row r="21" spans="2:20" x14ac:dyDescent="0.3"/>
    <row r="22" spans="2:20" x14ac:dyDescent="0.3">
      <c r="B22" s="5" t="s">
        <v>438</v>
      </c>
      <c r="C22" s="5" t="s">
        <v>439</v>
      </c>
      <c r="D22" s="5" t="s">
        <v>440</v>
      </c>
      <c r="E22" s="5" t="s">
        <v>441</v>
      </c>
      <c r="F22" s="5" t="s">
        <v>442</v>
      </c>
      <c r="G22" s="5" t="s">
        <v>443</v>
      </c>
      <c r="H22" s="5" t="s">
        <v>444</v>
      </c>
      <c r="I22" s="5" t="s">
        <v>445</v>
      </c>
      <c r="J22" s="5" t="s">
        <v>446</v>
      </c>
      <c r="K22" s="5" t="s">
        <v>447</v>
      </c>
      <c r="L22" s="5" t="s">
        <v>448</v>
      </c>
      <c r="M22" s="5" t="s">
        <v>449</v>
      </c>
      <c r="N22" s="5" t="s">
        <v>450</v>
      </c>
      <c r="O22" s="5" t="s">
        <v>518</v>
      </c>
      <c r="P22" s="5" t="s">
        <v>451</v>
      </c>
      <c r="Q22" s="5" t="s">
        <v>452</v>
      </c>
      <c r="R22" s="5" t="s">
        <v>453</v>
      </c>
      <c r="S22" s="5" t="s">
        <v>454</v>
      </c>
      <c r="T22" s="5" t="s">
        <v>455</v>
      </c>
    </row>
    <row r="23" spans="2:20" x14ac:dyDescent="0.3">
      <c r="B23" s="3" t="s">
        <v>10</v>
      </c>
      <c r="C23" s="3" t="s">
        <v>16</v>
      </c>
      <c r="D23" s="3" t="s">
        <v>75</v>
      </c>
      <c r="E23" s="3" t="s">
        <v>106</v>
      </c>
      <c r="F23" s="3" t="s">
        <v>126</v>
      </c>
      <c r="G23" s="3" t="s">
        <v>173</v>
      </c>
      <c r="H23" s="3" t="s">
        <v>205</v>
      </c>
      <c r="I23" s="3" t="s">
        <v>210</v>
      </c>
      <c r="J23" s="3" t="s">
        <v>216</v>
      </c>
      <c r="K23" s="3" t="s">
        <v>221</v>
      </c>
      <c r="L23" s="3" t="s">
        <v>225</v>
      </c>
      <c r="M23" s="3" t="s">
        <v>235</v>
      </c>
      <c r="N23" s="3" t="s">
        <v>263</v>
      </c>
      <c r="O23" t="s">
        <v>461</v>
      </c>
      <c r="P23" s="3" t="s">
        <v>396</v>
      </c>
      <c r="Q23" s="3" t="s">
        <v>400</v>
      </c>
      <c r="R23" s="3" t="s">
        <v>402</v>
      </c>
      <c r="S23" s="3" t="s">
        <v>428</v>
      </c>
      <c r="T23" s="3"/>
    </row>
    <row r="24" spans="2:20" x14ac:dyDescent="0.3">
      <c r="B24" s="3" t="s">
        <v>11</v>
      </c>
      <c r="C24" s="3" t="s">
        <v>17</v>
      </c>
      <c r="D24" s="3" t="s">
        <v>76</v>
      </c>
      <c r="E24" s="3" t="s">
        <v>107</v>
      </c>
      <c r="F24" s="3" t="s">
        <v>127</v>
      </c>
      <c r="G24" s="3" t="s">
        <v>174</v>
      </c>
      <c r="H24" s="3" t="s">
        <v>206</v>
      </c>
      <c r="I24" s="3" t="s">
        <v>211</v>
      </c>
      <c r="J24" s="3" t="s">
        <v>217</v>
      </c>
      <c r="K24" s="3" t="s">
        <v>222</v>
      </c>
      <c r="L24" s="3" t="s">
        <v>226</v>
      </c>
      <c r="M24" s="3" t="s">
        <v>236</v>
      </c>
      <c r="N24" s="3" t="s">
        <v>264</v>
      </c>
      <c r="O24" t="s">
        <v>459</v>
      </c>
      <c r="P24" s="3" t="s">
        <v>397</v>
      </c>
      <c r="Q24" s="3" t="s">
        <v>401</v>
      </c>
      <c r="R24" s="3" t="s">
        <v>403</v>
      </c>
      <c r="S24" s="3" t="s">
        <v>429</v>
      </c>
      <c r="T24" s="3"/>
    </row>
    <row r="25" spans="2:20" x14ac:dyDescent="0.3">
      <c r="B25" s="3" t="s">
        <v>12</v>
      </c>
      <c r="C25" s="3" t="s">
        <v>18</v>
      </c>
      <c r="D25" s="3" t="s">
        <v>77</v>
      </c>
      <c r="E25" s="3" t="s">
        <v>108</v>
      </c>
      <c r="F25" s="3" t="s">
        <v>128</v>
      </c>
      <c r="G25" s="3" t="s">
        <v>175</v>
      </c>
      <c r="H25" s="3" t="s">
        <v>207</v>
      </c>
      <c r="I25" s="3" t="s">
        <v>212</v>
      </c>
      <c r="J25" s="3" t="s">
        <v>218</v>
      </c>
      <c r="K25" s="3" t="s">
        <v>223</v>
      </c>
      <c r="L25" s="3" t="s">
        <v>227</v>
      </c>
      <c r="M25" s="3" t="s">
        <v>237</v>
      </c>
      <c r="N25" s="3" t="s">
        <v>265</v>
      </c>
      <c r="O25" s="3" t="s">
        <v>519</v>
      </c>
      <c r="P25" s="3" t="s">
        <v>398</v>
      </c>
      <c r="R25" s="3" t="s">
        <v>404</v>
      </c>
      <c r="S25" s="3" t="s">
        <v>430</v>
      </c>
      <c r="T25" s="3"/>
    </row>
    <row r="26" spans="2:20" x14ac:dyDescent="0.3">
      <c r="B26" s="3" t="s">
        <v>13</v>
      </c>
      <c r="C26" s="3" t="s">
        <v>19</v>
      </c>
      <c r="D26" s="3" t="s">
        <v>78</v>
      </c>
      <c r="E26" s="3" t="s">
        <v>109</v>
      </c>
      <c r="F26" s="3" t="s">
        <v>129</v>
      </c>
      <c r="G26" s="3" t="s">
        <v>176</v>
      </c>
      <c r="H26" s="3" t="s">
        <v>208</v>
      </c>
      <c r="I26" s="3" t="s">
        <v>213</v>
      </c>
      <c r="J26" s="3" t="s">
        <v>219</v>
      </c>
      <c r="K26" s="3" t="s">
        <v>224</v>
      </c>
      <c r="L26" s="3" t="s">
        <v>228</v>
      </c>
      <c r="M26" s="3" t="s">
        <v>238</v>
      </c>
      <c r="N26" s="3" t="s">
        <v>266</v>
      </c>
      <c r="O26" s="3" t="s">
        <v>277</v>
      </c>
      <c r="P26" s="3" t="s">
        <v>399</v>
      </c>
      <c r="R26" s="3" t="s">
        <v>405</v>
      </c>
      <c r="S26" s="3" t="s">
        <v>431</v>
      </c>
      <c r="T26" s="3"/>
    </row>
    <row r="27" spans="2:20" x14ac:dyDescent="0.3">
      <c r="B27" s="3" t="s">
        <v>14</v>
      </c>
      <c r="C27" s="3" t="s">
        <v>20</v>
      </c>
      <c r="D27" s="3" t="s">
        <v>79</v>
      </c>
      <c r="E27" s="3" t="s">
        <v>110</v>
      </c>
      <c r="F27" s="3" t="s">
        <v>130</v>
      </c>
      <c r="G27" s="3" t="s">
        <v>177</v>
      </c>
      <c r="H27" s="3" t="s">
        <v>209</v>
      </c>
      <c r="I27" s="3" t="s">
        <v>214</v>
      </c>
      <c r="J27" s="3" t="s">
        <v>220</v>
      </c>
      <c r="L27" s="3" t="s">
        <v>229</v>
      </c>
      <c r="M27" s="3" t="s">
        <v>239</v>
      </c>
      <c r="N27" s="3" t="s">
        <v>267</v>
      </c>
      <c r="O27" s="3" t="s">
        <v>278</v>
      </c>
      <c r="R27" s="3" t="s">
        <v>406</v>
      </c>
      <c r="S27" s="3" t="s">
        <v>432</v>
      </c>
      <c r="T27" s="3"/>
    </row>
    <row r="28" spans="2:20" x14ac:dyDescent="0.3">
      <c r="B28" s="3" t="s">
        <v>15</v>
      </c>
      <c r="C28" s="3" t="s">
        <v>21</v>
      </c>
      <c r="D28" s="3" t="s">
        <v>80</v>
      </c>
      <c r="E28" s="3" t="s">
        <v>111</v>
      </c>
      <c r="F28" s="3" t="s">
        <v>131</v>
      </c>
      <c r="G28" s="3" t="s">
        <v>178</v>
      </c>
      <c r="I28" s="3" t="s">
        <v>215</v>
      </c>
      <c r="L28" s="3" t="s">
        <v>230</v>
      </c>
      <c r="M28" s="3" t="s">
        <v>240</v>
      </c>
      <c r="N28" s="3" t="s">
        <v>268</v>
      </c>
      <c r="O28" s="3" t="s">
        <v>279</v>
      </c>
      <c r="R28" s="3" t="s">
        <v>407</v>
      </c>
      <c r="S28" s="3" t="s">
        <v>433</v>
      </c>
      <c r="T28" s="3"/>
    </row>
    <row r="29" spans="2:20" x14ac:dyDescent="0.3">
      <c r="C29" s="3" t="s">
        <v>22</v>
      </c>
      <c r="D29" s="3" t="s">
        <v>81</v>
      </c>
      <c r="E29" s="3" t="s">
        <v>112</v>
      </c>
      <c r="F29" s="3" t="s">
        <v>132</v>
      </c>
      <c r="G29" s="3" t="s">
        <v>179</v>
      </c>
      <c r="L29" s="3" t="s">
        <v>231</v>
      </c>
      <c r="M29" s="3" t="s">
        <v>241</v>
      </c>
      <c r="N29" s="3" t="s">
        <v>269</v>
      </c>
      <c r="O29" s="3" t="s">
        <v>280</v>
      </c>
      <c r="R29" s="3" t="s">
        <v>408</v>
      </c>
      <c r="S29" s="4" t="s">
        <v>434</v>
      </c>
      <c r="T29" s="3"/>
    </row>
    <row r="30" spans="2:20" x14ac:dyDescent="0.3">
      <c r="C30" s="3" t="s">
        <v>23</v>
      </c>
      <c r="D30" s="3" t="s">
        <v>82</v>
      </c>
      <c r="E30" s="3" t="s">
        <v>113</v>
      </c>
      <c r="F30" s="3" t="s">
        <v>133</v>
      </c>
      <c r="G30" s="3" t="s">
        <v>180</v>
      </c>
      <c r="L30" s="3" t="s">
        <v>232</v>
      </c>
      <c r="M30" s="3" t="s">
        <v>242</v>
      </c>
      <c r="N30" s="3" t="s">
        <v>270</v>
      </c>
      <c r="O30" s="3" t="s">
        <v>281</v>
      </c>
      <c r="R30" s="3" t="s">
        <v>409</v>
      </c>
      <c r="S30" s="3" t="s">
        <v>435</v>
      </c>
      <c r="T30" s="3"/>
    </row>
    <row r="31" spans="2:20" x14ac:dyDescent="0.3">
      <c r="C31" s="3" t="s">
        <v>24</v>
      </c>
      <c r="D31" s="3" t="s">
        <v>83</v>
      </c>
      <c r="E31" s="3" t="s">
        <v>114</v>
      </c>
      <c r="F31" s="3" t="s">
        <v>134</v>
      </c>
      <c r="G31" s="3" t="s">
        <v>181</v>
      </c>
      <c r="L31" s="3" t="s">
        <v>233</v>
      </c>
      <c r="M31" s="3" t="s">
        <v>243</v>
      </c>
      <c r="N31" s="3" t="s">
        <v>271</v>
      </c>
      <c r="O31" s="3" t="s">
        <v>282</v>
      </c>
      <c r="R31" s="3" t="s">
        <v>410</v>
      </c>
      <c r="S31" s="3" t="s">
        <v>436</v>
      </c>
      <c r="T31" s="3"/>
    </row>
    <row r="32" spans="2:20" x14ac:dyDescent="0.3">
      <c r="C32" s="3" t="s">
        <v>25</v>
      </c>
      <c r="D32" s="3" t="s">
        <v>84</v>
      </c>
      <c r="E32" s="3" t="s">
        <v>115</v>
      </c>
      <c r="F32" s="3" t="s">
        <v>135</v>
      </c>
      <c r="G32" s="3" t="s">
        <v>182</v>
      </c>
      <c r="L32" s="3" t="s">
        <v>234</v>
      </c>
      <c r="M32" s="3" t="s">
        <v>244</v>
      </c>
      <c r="N32" s="3" t="s">
        <v>272</v>
      </c>
      <c r="O32" s="3" t="s">
        <v>283</v>
      </c>
      <c r="R32" s="3" t="s">
        <v>411</v>
      </c>
      <c r="T32" s="3"/>
    </row>
    <row r="33" spans="3:20" x14ac:dyDescent="0.3">
      <c r="C33" s="3" t="s">
        <v>26</v>
      </c>
      <c r="D33" s="3" t="s">
        <v>85</v>
      </c>
      <c r="E33" s="3" t="s">
        <v>116</v>
      </c>
      <c r="F33" s="3" t="s">
        <v>136</v>
      </c>
      <c r="G33" s="3" t="s">
        <v>183</v>
      </c>
      <c r="M33" s="3" t="s">
        <v>245</v>
      </c>
      <c r="N33" s="3" t="s">
        <v>273</v>
      </c>
      <c r="O33" s="3" t="s">
        <v>284</v>
      </c>
      <c r="R33" s="3" t="s">
        <v>412</v>
      </c>
      <c r="T33" s="3"/>
    </row>
    <row r="34" spans="3:20" x14ac:dyDescent="0.3">
      <c r="C34" s="3" t="s">
        <v>27</v>
      </c>
      <c r="D34" s="3" t="s">
        <v>86</v>
      </c>
      <c r="E34" s="3" t="s">
        <v>117</v>
      </c>
      <c r="F34" s="3" t="s">
        <v>137</v>
      </c>
      <c r="G34" s="3" t="s">
        <v>184</v>
      </c>
      <c r="M34" s="3" t="s">
        <v>246</v>
      </c>
      <c r="N34" s="3" t="s">
        <v>274</v>
      </c>
      <c r="O34" s="3" t="s">
        <v>285</v>
      </c>
      <c r="R34" s="3" t="s">
        <v>413</v>
      </c>
      <c r="T34" s="3"/>
    </row>
    <row r="35" spans="3:20" x14ac:dyDescent="0.3">
      <c r="C35" s="3" t="s">
        <v>28</v>
      </c>
      <c r="D35" s="3" t="s">
        <v>87</v>
      </c>
      <c r="E35" s="3" t="s">
        <v>118</v>
      </c>
      <c r="F35" s="3" t="s">
        <v>138</v>
      </c>
      <c r="G35" s="3" t="s">
        <v>185</v>
      </c>
      <c r="M35" s="3" t="s">
        <v>247</v>
      </c>
      <c r="N35" s="3" t="s">
        <v>275</v>
      </c>
      <c r="O35" s="3" t="s">
        <v>286</v>
      </c>
      <c r="R35" s="3" t="s">
        <v>414</v>
      </c>
      <c r="T35" s="3"/>
    </row>
    <row r="36" spans="3:20" x14ac:dyDescent="0.3">
      <c r="C36" s="3" t="s">
        <v>29</v>
      </c>
      <c r="D36" s="3" t="s">
        <v>88</v>
      </c>
      <c r="E36" s="3" t="s">
        <v>119</v>
      </c>
      <c r="F36" s="3" t="s">
        <v>139</v>
      </c>
      <c r="G36" s="3" t="s">
        <v>186</v>
      </c>
      <c r="I36" s="3"/>
      <c r="M36" s="3" t="s">
        <v>248</v>
      </c>
      <c r="N36" s="3" t="s">
        <v>276</v>
      </c>
      <c r="O36" s="3" t="s">
        <v>287</v>
      </c>
      <c r="R36" s="3" t="s">
        <v>415</v>
      </c>
      <c r="T36" s="3"/>
    </row>
    <row r="37" spans="3:20" x14ac:dyDescent="0.3">
      <c r="C37" s="3" t="s">
        <v>30</v>
      </c>
      <c r="D37" s="3" t="s">
        <v>89</v>
      </c>
      <c r="E37" s="3" t="s">
        <v>120</v>
      </c>
      <c r="F37" s="3" t="s">
        <v>140</v>
      </c>
      <c r="G37" s="3" t="s">
        <v>187</v>
      </c>
      <c r="I37" s="3"/>
      <c r="M37" s="3" t="s">
        <v>249</v>
      </c>
      <c r="O37" s="3" t="s">
        <v>288</v>
      </c>
      <c r="R37" s="3" t="s">
        <v>416</v>
      </c>
      <c r="T37" s="3"/>
    </row>
    <row r="38" spans="3:20" x14ac:dyDescent="0.3">
      <c r="C38" s="3" t="s">
        <v>31</v>
      </c>
      <c r="D38" s="3" t="s">
        <v>90</v>
      </c>
      <c r="E38" s="3" t="s">
        <v>121</v>
      </c>
      <c r="F38" s="3" t="s">
        <v>141</v>
      </c>
      <c r="G38" s="3" t="s">
        <v>188</v>
      </c>
      <c r="I38" s="3"/>
      <c r="M38" s="3" t="s">
        <v>250</v>
      </c>
      <c r="O38" s="3" t="s">
        <v>289</v>
      </c>
      <c r="R38" s="3" t="s">
        <v>417</v>
      </c>
      <c r="T38" s="3"/>
    </row>
    <row r="39" spans="3:20" x14ac:dyDescent="0.3">
      <c r="C39" s="3" t="s">
        <v>32</v>
      </c>
      <c r="D39" s="3" t="s">
        <v>91</v>
      </c>
      <c r="E39" s="3" t="s">
        <v>123</v>
      </c>
      <c r="F39" s="3" t="s">
        <v>142</v>
      </c>
      <c r="G39" s="3" t="s">
        <v>189</v>
      </c>
      <c r="I39" s="3"/>
      <c r="M39" s="3" t="s">
        <v>251</v>
      </c>
      <c r="O39" s="3" t="s">
        <v>290</v>
      </c>
      <c r="R39" s="3" t="s">
        <v>418</v>
      </c>
      <c r="T39" s="3"/>
    </row>
    <row r="40" spans="3:20" x14ac:dyDescent="0.3">
      <c r="C40" s="3" t="s">
        <v>33</v>
      </c>
      <c r="D40" s="3" t="s">
        <v>92</v>
      </c>
      <c r="E40" s="3" t="s">
        <v>122</v>
      </c>
      <c r="F40" s="3" t="s">
        <v>143</v>
      </c>
      <c r="G40" s="3" t="s">
        <v>190</v>
      </c>
      <c r="I40" s="3"/>
      <c r="M40" s="3" t="s">
        <v>252</v>
      </c>
      <c r="O40" s="3" t="s">
        <v>291</v>
      </c>
      <c r="R40" s="3" t="s">
        <v>419</v>
      </c>
      <c r="T40" s="3"/>
    </row>
    <row r="41" spans="3:20" x14ac:dyDescent="0.3">
      <c r="C41" s="3" t="s">
        <v>34</v>
      </c>
      <c r="D41" s="3" t="s">
        <v>93</v>
      </c>
      <c r="E41" s="3" t="s">
        <v>124</v>
      </c>
      <c r="F41" s="3" t="s">
        <v>144</v>
      </c>
      <c r="G41" s="3" t="s">
        <v>191</v>
      </c>
      <c r="I41" s="3"/>
      <c r="M41" s="3" t="s">
        <v>253</v>
      </c>
      <c r="O41" s="3" t="s">
        <v>292</v>
      </c>
      <c r="R41" s="3" t="s">
        <v>420</v>
      </c>
      <c r="T41" s="3"/>
    </row>
    <row r="42" spans="3:20" x14ac:dyDescent="0.3">
      <c r="C42" s="3" t="s">
        <v>35</v>
      </c>
      <c r="D42" s="3" t="s">
        <v>94</v>
      </c>
      <c r="E42" s="3" t="s">
        <v>125</v>
      </c>
      <c r="F42" s="3" t="s">
        <v>145</v>
      </c>
      <c r="G42" s="3" t="s">
        <v>192</v>
      </c>
      <c r="I42" s="3"/>
      <c r="M42" s="3" t="s">
        <v>254</v>
      </c>
      <c r="O42" s="3" t="s">
        <v>293</v>
      </c>
      <c r="R42" s="3" t="s">
        <v>421</v>
      </c>
      <c r="T42" s="3"/>
    </row>
    <row r="43" spans="3:20" x14ac:dyDescent="0.3">
      <c r="C43" s="3" t="s">
        <v>36</v>
      </c>
      <c r="D43" s="3" t="s">
        <v>95</v>
      </c>
      <c r="F43" s="3" t="s">
        <v>146</v>
      </c>
      <c r="G43" s="3" t="s">
        <v>193</v>
      </c>
      <c r="I43" s="3"/>
      <c r="M43" s="3" t="s">
        <v>255</v>
      </c>
      <c r="O43" s="3" t="s">
        <v>294</v>
      </c>
      <c r="R43" s="3" t="s">
        <v>422</v>
      </c>
      <c r="T43" s="3"/>
    </row>
    <row r="44" spans="3:20" x14ac:dyDescent="0.3">
      <c r="C44" s="3" t="s">
        <v>37</v>
      </c>
      <c r="D44" s="3" t="s">
        <v>96</v>
      </c>
      <c r="F44" s="3" t="s">
        <v>147</v>
      </c>
      <c r="G44" s="3" t="s">
        <v>194</v>
      </c>
      <c r="I44" s="3"/>
      <c r="M44" s="3" t="s">
        <v>256</v>
      </c>
      <c r="O44" s="3" t="s">
        <v>295</v>
      </c>
      <c r="R44" s="3" t="s">
        <v>423</v>
      </c>
      <c r="T44" s="3"/>
    </row>
    <row r="45" spans="3:20" x14ac:dyDescent="0.3">
      <c r="C45" s="3" t="s">
        <v>38</v>
      </c>
      <c r="D45" s="3" t="s">
        <v>97</v>
      </c>
      <c r="F45" s="3" t="s">
        <v>148</v>
      </c>
      <c r="G45" s="3" t="s">
        <v>195</v>
      </c>
      <c r="I45" s="3"/>
      <c r="M45" s="3" t="s">
        <v>257</v>
      </c>
      <c r="O45" s="3" t="s">
        <v>296</v>
      </c>
      <c r="R45" s="3" t="s">
        <v>424</v>
      </c>
      <c r="T45" s="3"/>
    </row>
    <row r="46" spans="3:20" x14ac:dyDescent="0.3">
      <c r="C46" s="3" t="s">
        <v>39</v>
      </c>
      <c r="D46" s="3" t="s">
        <v>98</v>
      </c>
      <c r="F46" s="3" t="s">
        <v>149</v>
      </c>
      <c r="G46" s="3" t="s">
        <v>196</v>
      </c>
      <c r="I46" s="3"/>
      <c r="M46" s="3" t="s">
        <v>258</v>
      </c>
      <c r="O46" s="3" t="s">
        <v>297</v>
      </c>
      <c r="R46" s="3" t="s">
        <v>425</v>
      </c>
    </row>
    <row r="47" spans="3:20" x14ac:dyDescent="0.3">
      <c r="C47" s="3" t="s">
        <v>40</v>
      </c>
      <c r="D47" s="3" t="s">
        <v>99</v>
      </c>
      <c r="F47" s="3" t="s">
        <v>150</v>
      </c>
      <c r="G47" s="3" t="s">
        <v>197</v>
      </c>
      <c r="I47" s="3"/>
      <c r="M47" s="3" t="s">
        <v>259</v>
      </c>
      <c r="O47" s="3" t="s">
        <v>298</v>
      </c>
      <c r="R47" s="3" t="s">
        <v>426</v>
      </c>
    </row>
    <row r="48" spans="3:20" x14ac:dyDescent="0.3">
      <c r="C48" s="3" t="s">
        <v>41</v>
      </c>
      <c r="D48" s="3" t="s">
        <v>100</v>
      </c>
      <c r="F48" s="3" t="s">
        <v>151</v>
      </c>
      <c r="G48" s="3" t="s">
        <v>198</v>
      </c>
      <c r="I48" s="3"/>
      <c r="M48" s="3" t="s">
        <v>260</v>
      </c>
      <c r="O48" s="3" t="s">
        <v>299</v>
      </c>
      <c r="R48" s="3" t="s">
        <v>427</v>
      </c>
    </row>
    <row r="49" spans="3:15" x14ac:dyDescent="0.3">
      <c r="C49" s="3" t="s">
        <v>42</v>
      </c>
      <c r="D49" s="3" t="s">
        <v>101</v>
      </c>
      <c r="F49" s="3" t="s">
        <v>152</v>
      </c>
      <c r="G49" s="3" t="s">
        <v>199</v>
      </c>
      <c r="I49" s="3"/>
      <c r="M49" s="3" t="s">
        <v>261</v>
      </c>
      <c r="O49" s="3" t="s">
        <v>300</v>
      </c>
    </row>
    <row r="50" spans="3:15" x14ac:dyDescent="0.3">
      <c r="C50" s="3" t="s">
        <v>43</v>
      </c>
      <c r="D50" s="3" t="s">
        <v>102</v>
      </c>
      <c r="F50" s="3" t="s">
        <v>153</v>
      </c>
      <c r="G50" s="3" t="s">
        <v>200</v>
      </c>
      <c r="I50" s="3"/>
      <c r="M50" s="3" t="s">
        <v>262</v>
      </c>
      <c r="O50" s="3" t="s">
        <v>301</v>
      </c>
    </row>
    <row r="51" spans="3:15" x14ac:dyDescent="0.3">
      <c r="C51" s="3" t="s">
        <v>44</v>
      </c>
      <c r="D51" s="3" t="s">
        <v>103</v>
      </c>
      <c r="F51" s="3" t="s">
        <v>154</v>
      </c>
      <c r="G51" s="3" t="s">
        <v>201</v>
      </c>
      <c r="I51" s="3"/>
      <c r="O51" s="3" t="s">
        <v>302</v>
      </c>
    </row>
    <row r="52" spans="3:15" x14ac:dyDescent="0.3">
      <c r="C52" s="3" t="s">
        <v>45</v>
      </c>
      <c r="D52" s="3" t="s">
        <v>104</v>
      </c>
      <c r="F52" s="3" t="s">
        <v>155</v>
      </c>
      <c r="G52" s="3" t="s">
        <v>202</v>
      </c>
      <c r="I52" s="3"/>
      <c r="O52" s="3" t="s">
        <v>303</v>
      </c>
    </row>
    <row r="53" spans="3:15" x14ac:dyDescent="0.3">
      <c r="C53" s="3" t="s">
        <v>46</v>
      </c>
      <c r="D53" s="3" t="s">
        <v>105</v>
      </c>
      <c r="F53" s="3" t="s">
        <v>156</v>
      </c>
      <c r="G53" s="3" t="s">
        <v>203</v>
      </c>
      <c r="I53" s="3"/>
      <c r="O53" s="3" t="s">
        <v>304</v>
      </c>
    </row>
    <row r="54" spans="3:15" x14ac:dyDescent="0.3">
      <c r="C54" s="3" t="s">
        <v>47</v>
      </c>
      <c r="D54" s="3"/>
      <c r="F54" s="3" t="s">
        <v>157</v>
      </c>
      <c r="G54" s="3" t="s">
        <v>204</v>
      </c>
      <c r="I54" s="3"/>
      <c r="O54" s="3" t="s">
        <v>305</v>
      </c>
    </row>
    <row r="55" spans="3:15" x14ac:dyDescent="0.3">
      <c r="C55" s="3" t="s">
        <v>48</v>
      </c>
      <c r="F55" s="3" t="s">
        <v>158</v>
      </c>
      <c r="I55" s="3"/>
      <c r="O55" s="3" t="s">
        <v>306</v>
      </c>
    </row>
    <row r="56" spans="3:15" x14ac:dyDescent="0.3">
      <c r="C56" s="3" t="s">
        <v>49</v>
      </c>
      <c r="F56" s="3" t="s">
        <v>159</v>
      </c>
      <c r="G56" s="3"/>
      <c r="I56" s="3"/>
      <c r="O56" s="3" t="s">
        <v>307</v>
      </c>
    </row>
    <row r="57" spans="3:15" x14ac:dyDescent="0.3">
      <c r="C57" s="3" t="s">
        <v>50</v>
      </c>
      <c r="F57" s="3" t="s">
        <v>160</v>
      </c>
      <c r="I57" s="3"/>
      <c r="O57" s="3" t="s">
        <v>308</v>
      </c>
    </row>
    <row r="58" spans="3:15" x14ac:dyDescent="0.3">
      <c r="C58" s="3" t="s">
        <v>51</v>
      </c>
      <c r="F58" s="3" t="s">
        <v>161</v>
      </c>
      <c r="I58" s="3"/>
      <c r="O58" s="3" t="s">
        <v>309</v>
      </c>
    </row>
    <row r="59" spans="3:15" x14ac:dyDescent="0.3">
      <c r="C59" s="3" t="s">
        <v>52</v>
      </c>
      <c r="F59" s="3" t="s">
        <v>162</v>
      </c>
      <c r="O59" s="3" t="s">
        <v>310</v>
      </c>
    </row>
    <row r="60" spans="3:15" x14ac:dyDescent="0.3">
      <c r="C60" s="3" t="s">
        <v>53</v>
      </c>
      <c r="F60" s="3" t="s">
        <v>163</v>
      </c>
      <c r="O60" s="3" t="s">
        <v>311</v>
      </c>
    </row>
    <row r="61" spans="3:15" x14ac:dyDescent="0.3">
      <c r="C61" s="3" t="s">
        <v>54</v>
      </c>
      <c r="F61" s="3" t="s">
        <v>164</v>
      </c>
      <c r="I61" s="3"/>
      <c r="O61" s="3" t="s">
        <v>312</v>
      </c>
    </row>
    <row r="62" spans="3:15" x14ac:dyDescent="0.3">
      <c r="C62" s="3" t="s">
        <v>55</v>
      </c>
      <c r="F62" s="3" t="s">
        <v>165</v>
      </c>
      <c r="I62" s="3"/>
      <c r="O62" s="3" t="s">
        <v>313</v>
      </c>
    </row>
    <row r="63" spans="3:15" x14ac:dyDescent="0.3">
      <c r="C63" s="3" t="s">
        <v>56</v>
      </c>
      <c r="F63" s="3" t="s">
        <v>166</v>
      </c>
      <c r="I63" s="3"/>
      <c r="O63" s="3" t="s">
        <v>314</v>
      </c>
    </row>
    <row r="64" spans="3:15" x14ac:dyDescent="0.3">
      <c r="C64" s="3" t="s">
        <v>57</v>
      </c>
      <c r="F64" s="3" t="s">
        <v>167</v>
      </c>
      <c r="I64" s="3"/>
      <c r="O64" s="3" t="s">
        <v>315</v>
      </c>
    </row>
    <row r="65" spans="3:15" x14ac:dyDescent="0.3">
      <c r="C65" s="3" t="s">
        <v>58</v>
      </c>
      <c r="F65" s="3" t="s">
        <v>168</v>
      </c>
      <c r="I65" s="3"/>
      <c r="O65" s="3" t="s">
        <v>316</v>
      </c>
    </row>
    <row r="66" spans="3:15" x14ac:dyDescent="0.3">
      <c r="C66" s="3" t="s">
        <v>59</v>
      </c>
      <c r="F66" s="3" t="s">
        <v>169</v>
      </c>
      <c r="I66" s="3"/>
      <c r="O66" s="3" t="s">
        <v>317</v>
      </c>
    </row>
    <row r="67" spans="3:15" x14ac:dyDescent="0.3">
      <c r="C67" s="3" t="s">
        <v>60</v>
      </c>
      <c r="F67" s="3" t="s">
        <v>170</v>
      </c>
      <c r="I67" s="3"/>
      <c r="O67" s="3" t="s">
        <v>318</v>
      </c>
    </row>
    <row r="68" spans="3:15" x14ac:dyDescent="0.3">
      <c r="C68" s="3" t="s">
        <v>61</v>
      </c>
      <c r="F68" s="3" t="s">
        <v>171</v>
      </c>
      <c r="I68" s="3"/>
      <c r="O68" s="3" t="s">
        <v>319</v>
      </c>
    </row>
    <row r="69" spans="3:15" x14ac:dyDescent="0.3">
      <c r="C69" s="3" t="s">
        <v>62</v>
      </c>
      <c r="F69" s="3" t="s">
        <v>172</v>
      </c>
      <c r="I69" s="3"/>
      <c r="O69" s="3" t="s">
        <v>320</v>
      </c>
    </row>
    <row r="70" spans="3:15" x14ac:dyDescent="0.3">
      <c r="C70" s="3" t="s">
        <v>63</v>
      </c>
      <c r="I70" s="3"/>
      <c r="O70" s="3" t="s">
        <v>321</v>
      </c>
    </row>
    <row r="71" spans="3:15" x14ac:dyDescent="0.3">
      <c r="C71" s="3" t="s">
        <v>64</v>
      </c>
      <c r="I71" s="3"/>
      <c r="O71" s="3" t="s">
        <v>322</v>
      </c>
    </row>
    <row r="72" spans="3:15" x14ac:dyDescent="0.3">
      <c r="C72" s="3" t="s">
        <v>65</v>
      </c>
      <c r="I72" s="3"/>
      <c r="O72" s="3" t="s">
        <v>323</v>
      </c>
    </row>
    <row r="73" spans="3:15" x14ac:dyDescent="0.3">
      <c r="C73" s="3" t="s">
        <v>66</v>
      </c>
      <c r="I73" s="3"/>
      <c r="O73" s="3" t="s">
        <v>324</v>
      </c>
    </row>
    <row r="74" spans="3:15" x14ac:dyDescent="0.3">
      <c r="C74" s="3" t="s">
        <v>67</v>
      </c>
      <c r="I74" s="3"/>
      <c r="O74" s="3" t="s">
        <v>325</v>
      </c>
    </row>
    <row r="75" spans="3:15" x14ac:dyDescent="0.3">
      <c r="C75" s="3" t="s">
        <v>68</v>
      </c>
      <c r="I75" s="3"/>
      <c r="O75" s="3" t="s">
        <v>326</v>
      </c>
    </row>
    <row r="76" spans="3:15" x14ac:dyDescent="0.3">
      <c r="C76" s="3" t="s">
        <v>69</v>
      </c>
      <c r="I76" s="3"/>
      <c r="O76" s="3" t="s">
        <v>327</v>
      </c>
    </row>
    <row r="77" spans="3:15" x14ac:dyDescent="0.3">
      <c r="C77" s="3" t="s">
        <v>70</v>
      </c>
      <c r="I77" s="3"/>
      <c r="O77" s="3" t="s">
        <v>328</v>
      </c>
    </row>
    <row r="78" spans="3:15" x14ac:dyDescent="0.3">
      <c r="C78" s="3" t="s">
        <v>71</v>
      </c>
      <c r="I78" s="3"/>
      <c r="O78" s="3" t="s">
        <v>329</v>
      </c>
    </row>
    <row r="79" spans="3:15" x14ac:dyDescent="0.3">
      <c r="C79" s="3" t="s">
        <v>72</v>
      </c>
      <c r="I79" s="3"/>
      <c r="O79" s="3" t="s">
        <v>330</v>
      </c>
    </row>
    <row r="80" spans="3:15" x14ac:dyDescent="0.3">
      <c r="C80" s="3" t="s">
        <v>73</v>
      </c>
      <c r="I80" s="3"/>
      <c r="O80" s="3" t="s">
        <v>331</v>
      </c>
    </row>
    <row r="81" spans="3:15" x14ac:dyDescent="0.3">
      <c r="C81" s="3" t="s">
        <v>74</v>
      </c>
      <c r="I81" s="3"/>
      <c r="O81" s="3" t="s">
        <v>332</v>
      </c>
    </row>
    <row r="82" spans="3:15" x14ac:dyDescent="0.3">
      <c r="C82" s="3"/>
      <c r="O82" s="3" t="s">
        <v>333</v>
      </c>
    </row>
    <row r="83" spans="3:15" x14ac:dyDescent="0.3">
      <c r="C83" s="3"/>
      <c r="I83" s="2"/>
      <c r="O83" s="3" t="s">
        <v>334</v>
      </c>
    </row>
    <row r="84" spans="3:15" x14ac:dyDescent="0.3">
      <c r="I84" s="3"/>
      <c r="O84" s="3" t="s">
        <v>335</v>
      </c>
    </row>
    <row r="85" spans="3:15" x14ac:dyDescent="0.3">
      <c r="I85" s="3"/>
      <c r="O85" s="3" t="s">
        <v>336</v>
      </c>
    </row>
    <row r="86" spans="3:15" x14ac:dyDescent="0.3">
      <c r="I86" s="3"/>
      <c r="O86" s="3" t="s">
        <v>337</v>
      </c>
    </row>
    <row r="87" spans="3:15" x14ac:dyDescent="0.3">
      <c r="I87" s="3"/>
      <c r="O87" s="3" t="s">
        <v>338</v>
      </c>
    </row>
    <row r="88" spans="3:15" x14ac:dyDescent="0.3">
      <c r="I88" s="4"/>
      <c r="O88" s="3" t="s">
        <v>339</v>
      </c>
    </row>
    <row r="89" spans="3:15" x14ac:dyDescent="0.3">
      <c r="I89" s="3"/>
      <c r="O89" s="3" t="s">
        <v>340</v>
      </c>
    </row>
    <row r="90" spans="3:15" x14ac:dyDescent="0.3">
      <c r="I90" s="3"/>
      <c r="O90" s="3" t="s">
        <v>341</v>
      </c>
    </row>
    <row r="91" spans="3:15" x14ac:dyDescent="0.3">
      <c r="O91" s="3" t="s">
        <v>342</v>
      </c>
    </row>
    <row r="92" spans="3:15" x14ac:dyDescent="0.3">
      <c r="O92" s="3" t="s">
        <v>343</v>
      </c>
    </row>
    <row r="93" spans="3:15" x14ac:dyDescent="0.3">
      <c r="O93" s="3" t="s">
        <v>344</v>
      </c>
    </row>
    <row r="94" spans="3:15" x14ac:dyDescent="0.3">
      <c r="O94" s="3" t="s">
        <v>345</v>
      </c>
    </row>
    <row r="95" spans="3:15" x14ac:dyDescent="0.3">
      <c r="O95" s="3" t="s">
        <v>346</v>
      </c>
    </row>
    <row r="96" spans="3:15" x14ac:dyDescent="0.3">
      <c r="O96" s="3" t="s">
        <v>347</v>
      </c>
    </row>
    <row r="97" spans="15:15" x14ac:dyDescent="0.3">
      <c r="O97" s="3" t="s">
        <v>348</v>
      </c>
    </row>
    <row r="98" spans="15:15" x14ac:dyDescent="0.3">
      <c r="O98" s="3" t="s">
        <v>349</v>
      </c>
    </row>
    <row r="99" spans="15:15" x14ac:dyDescent="0.3">
      <c r="O99" s="3" t="s">
        <v>350</v>
      </c>
    </row>
    <row r="100" spans="15:15" x14ac:dyDescent="0.3">
      <c r="O100" s="3" t="s">
        <v>351</v>
      </c>
    </row>
    <row r="101" spans="15:15" x14ac:dyDescent="0.3">
      <c r="O101" s="3" t="s">
        <v>352</v>
      </c>
    </row>
    <row r="102" spans="15:15" x14ac:dyDescent="0.3">
      <c r="O102" s="3" t="s">
        <v>353</v>
      </c>
    </row>
    <row r="103" spans="15:15" x14ac:dyDescent="0.3">
      <c r="O103" s="3" t="s">
        <v>354</v>
      </c>
    </row>
    <row r="104" spans="15:15" x14ac:dyDescent="0.3">
      <c r="O104" s="3" t="s">
        <v>355</v>
      </c>
    </row>
    <row r="105" spans="15:15" x14ac:dyDescent="0.3">
      <c r="O105" s="3" t="s">
        <v>356</v>
      </c>
    </row>
    <row r="106" spans="15:15" x14ac:dyDescent="0.3">
      <c r="O106" s="3" t="s">
        <v>357</v>
      </c>
    </row>
    <row r="107" spans="15:15" x14ac:dyDescent="0.3">
      <c r="O107" s="3" t="s">
        <v>358</v>
      </c>
    </row>
    <row r="108" spans="15:15" x14ac:dyDescent="0.3">
      <c r="O108" s="3" t="s">
        <v>359</v>
      </c>
    </row>
    <row r="109" spans="15:15" x14ac:dyDescent="0.3">
      <c r="O109" s="3" t="s">
        <v>360</v>
      </c>
    </row>
    <row r="110" spans="15:15" x14ac:dyDescent="0.3">
      <c r="O110" s="3" t="s">
        <v>361</v>
      </c>
    </row>
    <row r="111" spans="15:15" x14ac:dyDescent="0.3">
      <c r="O111" s="3" t="s">
        <v>362</v>
      </c>
    </row>
    <row r="112" spans="15:15" x14ac:dyDescent="0.3">
      <c r="O112" s="3" t="s">
        <v>363</v>
      </c>
    </row>
    <row r="113" spans="15:15" x14ac:dyDescent="0.3">
      <c r="O113" s="3" t="s">
        <v>364</v>
      </c>
    </row>
    <row r="114" spans="15:15" x14ac:dyDescent="0.3">
      <c r="O114" s="3" t="s">
        <v>365</v>
      </c>
    </row>
    <row r="115" spans="15:15" x14ac:dyDescent="0.3">
      <c r="O115" s="3" t="s">
        <v>366</v>
      </c>
    </row>
    <row r="116" spans="15:15" x14ac:dyDescent="0.3">
      <c r="O116" s="3" t="s">
        <v>367</v>
      </c>
    </row>
    <row r="117" spans="15:15" x14ac:dyDescent="0.3">
      <c r="O117" s="3" t="s">
        <v>368</v>
      </c>
    </row>
    <row r="118" spans="15:15" x14ac:dyDescent="0.3">
      <c r="O118" s="3" t="s">
        <v>369</v>
      </c>
    </row>
    <row r="119" spans="15:15" x14ac:dyDescent="0.3">
      <c r="O119" s="3" t="s">
        <v>370</v>
      </c>
    </row>
    <row r="120" spans="15:15" x14ac:dyDescent="0.3">
      <c r="O120" s="3" t="s">
        <v>371</v>
      </c>
    </row>
    <row r="121" spans="15:15" x14ac:dyDescent="0.3">
      <c r="O121" s="3" t="s">
        <v>372</v>
      </c>
    </row>
    <row r="122" spans="15:15" x14ac:dyDescent="0.3">
      <c r="O122" s="3" t="s">
        <v>373</v>
      </c>
    </row>
    <row r="123" spans="15:15" x14ac:dyDescent="0.3">
      <c r="O123" s="3" t="s">
        <v>374</v>
      </c>
    </row>
    <row r="124" spans="15:15" x14ac:dyDescent="0.3">
      <c r="O124" s="3" t="s">
        <v>375</v>
      </c>
    </row>
    <row r="125" spans="15:15" x14ac:dyDescent="0.3">
      <c r="O125" s="3" t="s">
        <v>376</v>
      </c>
    </row>
    <row r="126" spans="15:15" x14ac:dyDescent="0.3">
      <c r="O126" s="3" t="s">
        <v>377</v>
      </c>
    </row>
    <row r="127" spans="15:15" x14ac:dyDescent="0.3">
      <c r="O127" s="3" t="s">
        <v>378</v>
      </c>
    </row>
    <row r="128" spans="15:15" x14ac:dyDescent="0.3">
      <c r="O128" s="3" t="s">
        <v>379</v>
      </c>
    </row>
    <row r="129" spans="15:15" x14ac:dyDescent="0.3">
      <c r="O129" s="3" t="s">
        <v>380</v>
      </c>
    </row>
    <row r="130" spans="15:15" x14ac:dyDescent="0.3">
      <c r="O130" s="3" t="s">
        <v>381</v>
      </c>
    </row>
    <row r="131" spans="15:15" x14ac:dyDescent="0.3">
      <c r="O131" s="3" t="s">
        <v>382</v>
      </c>
    </row>
    <row r="132" spans="15:15" x14ac:dyDescent="0.3">
      <c r="O132" s="3" t="s">
        <v>383</v>
      </c>
    </row>
    <row r="133" spans="15:15" x14ac:dyDescent="0.3">
      <c r="O133" s="3" t="s">
        <v>384</v>
      </c>
    </row>
    <row r="134" spans="15:15" x14ac:dyDescent="0.3">
      <c r="O134" s="3" t="s">
        <v>385</v>
      </c>
    </row>
    <row r="135" spans="15:15" x14ac:dyDescent="0.3">
      <c r="O135" s="3" t="s">
        <v>386</v>
      </c>
    </row>
    <row r="136" spans="15:15" x14ac:dyDescent="0.3">
      <c r="O136" s="3" t="s">
        <v>387</v>
      </c>
    </row>
    <row r="137" spans="15:15" x14ac:dyDescent="0.3">
      <c r="O137" s="3" t="s">
        <v>388</v>
      </c>
    </row>
    <row r="138" spans="15:15" x14ac:dyDescent="0.3">
      <c r="O138" s="3" t="s">
        <v>389</v>
      </c>
    </row>
    <row r="139" spans="15:15" x14ac:dyDescent="0.3">
      <c r="O139" s="3" t="s">
        <v>390</v>
      </c>
    </row>
    <row r="140" spans="15:15" x14ac:dyDescent="0.3">
      <c r="O140" s="3" t="s">
        <v>391</v>
      </c>
    </row>
    <row r="141" spans="15:15" x14ac:dyDescent="0.3">
      <c r="O141" s="3" t="s">
        <v>392</v>
      </c>
    </row>
    <row r="142" spans="15:15" x14ac:dyDescent="0.3">
      <c r="O142" s="3" t="s">
        <v>393</v>
      </c>
    </row>
    <row r="143" spans="15:15" x14ac:dyDescent="0.3">
      <c r="O143" s="3" t="s">
        <v>394</v>
      </c>
    </row>
    <row r="144" spans="15:15" x14ac:dyDescent="0.3">
      <c r="O144" s="3" t="s">
        <v>395</v>
      </c>
    </row>
    <row r="145" x14ac:dyDescent="0.3"/>
    <row r="146" x14ac:dyDescent="0.3"/>
    <row r="147" x14ac:dyDescent="0.3"/>
    <row r="148" x14ac:dyDescent="0.3"/>
  </sheetData>
  <pageMargins left="0.7" right="0.7" top="0.75" bottom="0.75" header="0.3" footer="0.3"/>
  <pageSetup orientation="portrait"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CE7A0-342A-4E45-9D28-5402C3412D50}">
  <sheetPr codeName="Sheet9">
    <tabColor theme="0" tint="-0.249977111117893"/>
  </sheetPr>
  <dimension ref="B1:D14"/>
  <sheetViews>
    <sheetView showGridLines="0" zoomScale="90" zoomScaleNormal="90" workbookViewId="0">
      <selection activeCell="D7" sqref="D7"/>
    </sheetView>
  </sheetViews>
  <sheetFormatPr defaultRowHeight="14.4" x14ac:dyDescent="0.3"/>
  <cols>
    <col min="1" max="1" width="3.5546875" customWidth="1"/>
    <col min="2" max="4" width="54.5546875" customWidth="1"/>
  </cols>
  <sheetData>
    <row r="1" spans="2:4" ht="7.2" customHeight="1" x14ac:dyDescent="0.3"/>
    <row r="2" spans="2:4" ht="15.6" x14ac:dyDescent="0.3">
      <c r="B2" s="143" t="s">
        <v>772</v>
      </c>
    </row>
    <row r="4" spans="2:4" ht="15.6" x14ac:dyDescent="0.3">
      <c r="B4" s="145" t="s">
        <v>518</v>
      </c>
      <c r="C4" s="145" t="s">
        <v>443</v>
      </c>
      <c r="D4" s="145" t="s">
        <v>453</v>
      </c>
    </row>
    <row r="5" spans="2:4" x14ac:dyDescent="0.3">
      <c r="B5" s="146" t="s">
        <v>461</v>
      </c>
      <c r="C5" s="146" t="s">
        <v>191</v>
      </c>
      <c r="D5" s="146" t="s">
        <v>408</v>
      </c>
    </row>
    <row r="6" spans="2:4" x14ac:dyDescent="0.3">
      <c r="B6" s="146" t="s">
        <v>459</v>
      </c>
      <c r="C6" s="146" t="s">
        <v>192</v>
      </c>
      <c r="D6" s="146" t="s">
        <v>410</v>
      </c>
    </row>
    <row r="7" spans="2:4" x14ac:dyDescent="0.3">
      <c r="B7" s="146" t="s">
        <v>519</v>
      </c>
      <c r="C7" s="146" t="s">
        <v>193</v>
      </c>
      <c r="D7" s="146" t="s">
        <v>411</v>
      </c>
    </row>
    <row r="8" spans="2:4" x14ac:dyDescent="0.3">
      <c r="B8" s="146" t="s">
        <v>282</v>
      </c>
      <c r="C8" s="146"/>
      <c r="D8" s="146" t="s">
        <v>419</v>
      </c>
    </row>
    <row r="9" spans="2:4" x14ac:dyDescent="0.3">
      <c r="B9" s="146" t="s">
        <v>317</v>
      </c>
      <c r="C9" s="146"/>
      <c r="D9" s="146" t="s">
        <v>420</v>
      </c>
    </row>
    <row r="10" spans="2:4" x14ac:dyDescent="0.3">
      <c r="B10" s="146" t="s">
        <v>324</v>
      </c>
      <c r="C10" s="146"/>
      <c r="D10" s="146"/>
    </row>
    <row r="11" spans="2:4" x14ac:dyDescent="0.3">
      <c r="B11" s="146" t="s">
        <v>361</v>
      </c>
      <c r="C11" s="146"/>
      <c r="D11" s="146"/>
    </row>
    <row r="12" spans="2:4" x14ac:dyDescent="0.3">
      <c r="B12" s="146"/>
      <c r="C12" s="146"/>
      <c r="D12" s="146"/>
    </row>
    <row r="13" spans="2:4" x14ac:dyDescent="0.3">
      <c r="B13" s="146"/>
      <c r="C13" s="146"/>
      <c r="D13" s="146"/>
    </row>
    <row r="14" spans="2:4" x14ac:dyDescent="0.3">
      <c r="B14" s="146"/>
      <c r="C14" s="146"/>
      <c r="D14" s="146"/>
    </row>
  </sheetData>
  <sheetProtection algorithmName="SHA-512" hashValue="hiFRZThmxI+2+kXv/7mR/8tHeYkd/q+qHTMqRkq0hR9wPeWeGZed3l3kKVHyfW3e+95Rr4nZecHf+PjWKJ+hug==" saltValue="g3WOmOJFtiQ1/maAKLk0U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B65-2168-4A66-B0BB-C83FC3CE0485}">
  <sheetPr>
    <tabColor theme="0" tint="-0.249977111117893"/>
  </sheetPr>
  <dimension ref="B1:B24"/>
  <sheetViews>
    <sheetView showGridLines="0" workbookViewId="0">
      <selection activeCell="G23" sqref="G23"/>
    </sheetView>
  </sheetViews>
  <sheetFormatPr defaultRowHeight="14.4" x14ac:dyDescent="0.3"/>
  <cols>
    <col min="1" max="1" width="1.6640625" customWidth="1"/>
    <col min="2" max="2" width="63.5546875" customWidth="1"/>
  </cols>
  <sheetData>
    <row r="1" spans="2:2" ht="9.4499999999999993" customHeight="1" x14ac:dyDescent="0.3"/>
    <row r="2" spans="2:2" ht="15.6" x14ac:dyDescent="0.3">
      <c r="B2" s="143" t="s">
        <v>734</v>
      </c>
    </row>
    <row r="4" spans="2:2" ht="15.6" x14ac:dyDescent="0.3">
      <c r="B4" s="203" t="s">
        <v>735</v>
      </c>
    </row>
    <row r="5" spans="2:2" x14ac:dyDescent="0.3">
      <c r="B5" s="146" t="s">
        <v>106</v>
      </c>
    </row>
    <row r="6" spans="2:2" x14ac:dyDescent="0.3">
      <c r="B6" s="146" t="s">
        <v>107</v>
      </c>
    </row>
    <row r="7" spans="2:2" x14ac:dyDescent="0.3">
      <c r="B7" s="146" t="s">
        <v>108</v>
      </c>
    </row>
    <row r="8" spans="2:2" x14ac:dyDescent="0.3">
      <c r="B8" s="146" t="s">
        <v>111</v>
      </c>
    </row>
    <row r="9" spans="2:2" x14ac:dyDescent="0.3">
      <c r="B9" s="146" t="s">
        <v>112</v>
      </c>
    </row>
    <row r="10" spans="2:2" x14ac:dyDescent="0.3">
      <c r="B10" s="146" t="s">
        <v>113</v>
      </c>
    </row>
    <row r="11" spans="2:2" x14ac:dyDescent="0.3">
      <c r="B11" s="146" t="s">
        <v>114</v>
      </c>
    </row>
    <row r="12" spans="2:2" x14ac:dyDescent="0.3">
      <c r="B12" s="204" t="s">
        <v>115</v>
      </c>
    </row>
    <row r="13" spans="2:2" x14ac:dyDescent="0.3">
      <c r="B13" s="146" t="s">
        <v>116</v>
      </c>
    </row>
    <row r="14" spans="2:2" x14ac:dyDescent="0.3">
      <c r="B14" s="146" t="s">
        <v>117</v>
      </c>
    </row>
    <row r="15" spans="2:2" x14ac:dyDescent="0.3">
      <c r="B15" s="146" t="s">
        <v>118</v>
      </c>
    </row>
    <row r="16" spans="2:2" x14ac:dyDescent="0.3">
      <c r="B16" s="146" t="s">
        <v>119</v>
      </c>
    </row>
    <row r="17" spans="2:2" x14ac:dyDescent="0.3">
      <c r="B17" s="146" t="s">
        <v>120</v>
      </c>
    </row>
    <row r="18" spans="2:2" x14ac:dyDescent="0.3">
      <c r="B18" s="146" t="s">
        <v>121</v>
      </c>
    </row>
    <row r="19" spans="2:2" x14ac:dyDescent="0.3">
      <c r="B19" s="146" t="s">
        <v>123</v>
      </c>
    </row>
    <row r="20" spans="2:2" x14ac:dyDescent="0.3">
      <c r="B20" s="146" t="s">
        <v>122</v>
      </c>
    </row>
    <row r="21" spans="2:2" x14ac:dyDescent="0.3">
      <c r="B21" s="146" t="s">
        <v>124</v>
      </c>
    </row>
    <row r="22" spans="2:2" x14ac:dyDescent="0.3">
      <c r="B22" s="146" t="s">
        <v>125</v>
      </c>
    </row>
    <row r="23" spans="2:2" x14ac:dyDescent="0.3">
      <c r="B23" s="146"/>
    </row>
    <row r="24" spans="2:2" x14ac:dyDescent="0.3">
      <c r="B24" s="146"/>
    </row>
  </sheetData>
  <sheetProtection algorithmName="SHA-512" hashValue="h47DeOfWLFp7FOKbkOX8HBkmXAy4vhHqkhvpvjcetOY6IT1Ko6ovlGKmS7CmRw1/tfl7rCWlxhaJolVxybppew==" saltValue="zCKZSYc0vZgOPjci838Pm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Summary</vt:lpstr>
      <vt:lpstr>2 TIPLA Summary</vt:lpstr>
      <vt:lpstr>3 SIR</vt:lpstr>
      <vt:lpstr>4 Construction Scope</vt:lpstr>
      <vt:lpstr>5 Savings Analysis</vt:lpstr>
      <vt:lpstr>6 Local Law 97 Analysis</vt:lpstr>
      <vt:lpstr>Backup</vt:lpstr>
      <vt:lpstr>Prequal Measures</vt:lpstr>
      <vt:lpstr>Incr Cost Measures</vt:lpstr>
      <vt:lpstr>Social Cost Value Analysis</vt:lpstr>
      <vt:lpstr>ee_categories</vt:lpstr>
      <vt:lpstr>ee_incr_measures</vt:lpstr>
      <vt:lpstr>incr_cost_cats</vt:lpstr>
      <vt:lpstr>prequal_categories</vt:lpstr>
      <vt:lpstr>prequal_EE_list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O'Donnell | NYCEEC</dc:creator>
  <cp:lastModifiedBy>Patrick ODonnell</cp:lastModifiedBy>
  <cp:lastPrinted>2020-10-28T21:25:11Z</cp:lastPrinted>
  <dcterms:created xsi:type="dcterms:W3CDTF">2020-04-03T13:51:56Z</dcterms:created>
  <dcterms:modified xsi:type="dcterms:W3CDTF">2024-08-15T16:35:33Z</dcterms:modified>
</cp:coreProperties>
</file>